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200" windowHeight="7335"/>
  </bookViews>
  <sheets>
    <sheet name="Приложение 1  " sheetId="4" r:id="rId1"/>
    <sheet name="Приложение 2" sheetId="1" r:id="rId2"/>
  </sheets>
  <definedNames>
    <definedName name="_xlnm._FilterDatabase" localSheetId="0" hidden="1">'Приложение 1  '!$A$11:$G$125</definedName>
    <definedName name="_xlnm._FilterDatabase" localSheetId="1" hidden="1">'Приложение 2'!$A$11:$F$85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3" i="1"/>
  <c r="D27"/>
  <c r="G67" i="4"/>
  <c r="E26"/>
  <c r="G26"/>
  <c r="G12"/>
  <c r="G120"/>
  <c r="G101"/>
  <c r="G130"/>
  <c r="G133" s="1"/>
  <c r="D54" i="1"/>
  <c r="G97" i="4" l="1"/>
  <c r="E108"/>
  <c r="G79"/>
  <c r="G56"/>
  <c r="E56" s="1"/>
  <c r="G61"/>
  <c r="E60"/>
  <c r="E55"/>
  <c r="G109"/>
  <c r="E66"/>
  <c r="G63"/>
  <c r="G58"/>
  <c r="E54"/>
  <c r="G28"/>
  <c r="G33"/>
  <c r="E33" s="1"/>
  <c r="C56"/>
  <c r="E67"/>
  <c r="G31"/>
  <c r="G42"/>
  <c r="E65" l="1"/>
  <c r="G14"/>
  <c r="G103"/>
  <c r="E131" l="1"/>
  <c r="G86"/>
  <c r="F128"/>
  <c r="G128"/>
  <c r="E127"/>
  <c r="G93"/>
  <c r="E107"/>
  <c r="C107"/>
  <c r="C109" s="1"/>
  <c r="E25" l="1"/>
  <c r="F63" i="1" l="1"/>
  <c r="F67"/>
  <c r="F133" i="4" l="1"/>
  <c r="G37" l="1"/>
  <c r="E109" l="1"/>
  <c r="G118" l="1"/>
  <c r="E105"/>
  <c r="G105"/>
  <c r="E86"/>
  <c r="G84"/>
  <c r="E79"/>
  <c r="G92"/>
  <c r="E92" s="1"/>
  <c r="G73"/>
  <c r="D55" i="1" l="1"/>
  <c r="D69" l="1"/>
  <c r="E76" l="1"/>
  <c r="F76"/>
  <c r="D75"/>
  <c r="D49" l="1"/>
  <c r="E19" i="4" l="1"/>
  <c r="G49"/>
  <c r="E18"/>
  <c r="E20"/>
  <c r="D61" i="1" l="1"/>
  <c r="D44"/>
  <c r="D62" l="1"/>
  <c r="D60"/>
  <c r="D36"/>
  <c r="D37"/>
  <c r="E49" i="4" l="1"/>
  <c r="D73" i="1"/>
  <c r="D13"/>
  <c r="D29" l="1"/>
  <c r="D19"/>
  <c r="G78" i="4" l="1"/>
  <c r="F40" i="1"/>
  <c r="D40" s="1"/>
  <c r="E84" i="4"/>
  <c r="E78" l="1"/>
  <c r="G125"/>
  <c r="E125" s="1"/>
  <c r="F125"/>
  <c r="F72"/>
  <c r="G72"/>
  <c r="E130"/>
  <c r="E133" s="1"/>
  <c r="D26" i="1"/>
  <c r="E97" i="4"/>
  <c r="D32" i="1" l="1"/>
  <c r="D45"/>
  <c r="D18"/>
  <c r="D23"/>
  <c r="D28"/>
  <c r="D35"/>
  <c r="D21"/>
  <c r="D51"/>
  <c r="D74"/>
  <c r="D14"/>
  <c r="D24"/>
  <c r="D52"/>
  <c r="E120" i="4" l="1"/>
  <c r="G114"/>
  <c r="E63"/>
  <c r="E50"/>
  <c r="E101" l="1"/>
  <c r="E126"/>
  <c r="E128" s="1"/>
  <c r="E114"/>
  <c r="G89"/>
  <c r="E103"/>
  <c r="E91"/>
  <c r="E93"/>
  <c r="G124"/>
  <c r="E37" l="1"/>
  <c r="E61" l="1"/>
  <c r="E58"/>
  <c r="E48"/>
  <c r="E46"/>
  <c r="E44"/>
  <c r="E42"/>
  <c r="E41"/>
  <c r="E40"/>
  <c r="E39"/>
  <c r="E35"/>
  <c r="E72" s="1"/>
  <c r="E31"/>
  <c r="E30"/>
  <c r="E28"/>
  <c r="E24"/>
  <c r="E14"/>
  <c r="E12"/>
  <c r="G23" l="1"/>
  <c r="D17" i="1"/>
  <c r="E23" i="4" l="1"/>
  <c r="G71"/>
  <c r="G135" l="1"/>
  <c r="F129"/>
  <c r="G136" l="1"/>
  <c r="F136"/>
  <c r="F134"/>
  <c r="F70"/>
  <c r="F71" s="1"/>
  <c r="D57" i="1"/>
  <c r="D20"/>
  <c r="D34" l="1"/>
  <c r="D25"/>
  <c r="D22"/>
  <c r="D31"/>
  <c r="E77"/>
  <c r="E79"/>
  <c r="E82"/>
  <c r="E83"/>
  <c r="E81"/>
  <c r="E80"/>
  <c r="E78"/>
  <c r="D64"/>
  <c r="D65"/>
  <c r="D66"/>
  <c r="D67"/>
  <c r="D12"/>
  <c r="E118" i="4" l="1"/>
  <c r="F124" l="1"/>
  <c r="F135" s="1"/>
  <c r="E123"/>
  <c r="E70"/>
  <c r="E71" s="1"/>
  <c r="E84" i="1"/>
  <c r="F84"/>
  <c r="D46"/>
  <c r="D30" l="1"/>
  <c r="D38"/>
  <c r="D39"/>
  <c r="D41"/>
  <c r="D42"/>
  <c r="D43"/>
  <c r="D47"/>
  <c r="D48"/>
  <c r="D50"/>
  <c r="D53"/>
  <c r="D56"/>
  <c r="D58"/>
  <c r="D59"/>
  <c r="D63"/>
  <c r="D68"/>
  <c r="D70"/>
  <c r="D71"/>
  <c r="D72"/>
  <c r="D76" l="1"/>
  <c r="E89" i="4"/>
  <c r="E73"/>
  <c r="E124" s="1"/>
  <c r="E135" s="1"/>
  <c r="E136" l="1"/>
  <c r="D83" i="1"/>
  <c r="D82"/>
  <c r="D81"/>
  <c r="D80"/>
  <c r="D79"/>
  <c r="D78"/>
  <c r="D77"/>
  <c r="D84" l="1"/>
  <c r="E85"/>
  <c r="D85" l="1"/>
  <c r="F85"/>
</calcChain>
</file>

<file path=xl/sharedStrings.xml><?xml version="1.0" encoding="utf-8"?>
<sst xmlns="http://schemas.openxmlformats.org/spreadsheetml/2006/main" count="326" uniqueCount="203">
  <si>
    <t>Наименование учреждения</t>
  </si>
  <si>
    <t>Наименование работ</t>
  </si>
  <si>
    <t>Наименование субсидии</t>
  </si>
  <si>
    <t>Стоимость работ, всего</t>
  </si>
  <si>
    <t>в том числе по источникам финансирования</t>
  </si>
  <si>
    <t>средства областного бюджета</t>
  </si>
  <si>
    <t>средства бюджета Златоустовского городского округа</t>
  </si>
  <si>
    <t>МАДОУ "Детский сад комбинированного вида № 84"</t>
  </si>
  <si>
    <t>Обеспечение физической квалифицированной охраной</t>
  </si>
  <si>
    <t>МАДОУ "Детский сад комбинированного вида № 143"</t>
  </si>
  <si>
    <t>МАОУ СОШ №1</t>
  </si>
  <si>
    <t>МАОУ СОШ №2</t>
  </si>
  <si>
    <t>МАОУ СОШ №3</t>
  </si>
  <si>
    <t>МАОУ СОШ №4</t>
  </si>
  <si>
    <t>МАОУ СОШ №8</t>
  </si>
  <si>
    <t>МАОУ СОШ №9</t>
  </si>
  <si>
    <t>МАОУ СОШ №10</t>
  </si>
  <si>
    <t>МАОУ СОШ №13</t>
  </si>
  <si>
    <t>МАОУ СОШ №15</t>
  </si>
  <si>
    <t>МАОУ СОШ № 18</t>
  </si>
  <si>
    <t>МАОУ СОШ №21</t>
  </si>
  <si>
    <t>МАОУ СОШ №25</t>
  </si>
  <si>
    <t>МАОУ СОШ №34</t>
  </si>
  <si>
    <t>МАОУ СОШ № 35</t>
  </si>
  <si>
    <t>МАОУ СОШ № 38</t>
  </si>
  <si>
    <t>МАОУ СОШ № 45</t>
  </si>
  <si>
    <t xml:space="preserve">МАОУ СОШ № 90 </t>
  </si>
  <si>
    <t>МАУ ШИ №31</t>
  </si>
  <si>
    <t>МАУ Начальная школа №25</t>
  </si>
  <si>
    <t>ИТОГО по направлению</t>
  </si>
  <si>
    <t>Субсидия на обеспечение образовательных организаций 1,2 категории квалифицированной охраной</t>
  </si>
  <si>
    <t>МАОУ СОШ №35</t>
  </si>
  <si>
    <t>МАОУ СОШ №36</t>
  </si>
  <si>
    <t>МАОУ СОШ №37</t>
  </si>
  <si>
    <t>МАОУ СОШ №38</t>
  </si>
  <si>
    <t>МАОУ СОШ №90</t>
  </si>
  <si>
    <t>ИТОГО:</t>
  </si>
  <si>
    <t>Тип учреждения</t>
  </si>
  <si>
    <t>средства областного и федерального бюджетов</t>
  </si>
  <si>
    <t>Дошкольные учреждения</t>
  </si>
  <si>
    <t>Ремонт и противопожарные мероприятия</t>
  </si>
  <si>
    <t>МАДОУ "Детский сад № 58"</t>
  </si>
  <si>
    <t>из них на проведение противопожарных мероприятий</t>
  </si>
  <si>
    <t>МАОУ СОШ № 9</t>
  </si>
  <si>
    <t>МАОУ СОШ № 10</t>
  </si>
  <si>
    <t xml:space="preserve">Сумма, рублей
</t>
  </si>
  <si>
    <t>Общеобразовательные учреждения</t>
  </si>
  <si>
    <t>Ремонт кровли СП Детский сад №54</t>
  </si>
  <si>
    <t xml:space="preserve">Ремонт кровли  </t>
  </si>
  <si>
    <t>МАДОУ "Детский сад № 52"</t>
  </si>
  <si>
    <t>Капитальный ремонт здания</t>
  </si>
  <si>
    <t>Субсидия на проведение капитального ремонта зданий и сооружений муниципальных организаций дошкольного образования</t>
  </si>
  <si>
    <t>Субсидия на замену окон в общеобразовательных организациях</t>
  </si>
  <si>
    <t>Замена оконных блоков</t>
  </si>
  <si>
    <t>Монтаж системы оповещения</t>
  </si>
  <si>
    <t>МАДОУ "Детский сад комбинированного вида № 4"</t>
  </si>
  <si>
    <t>Монтаж системы контроля доступа СП ООШ №23</t>
  </si>
  <si>
    <t>Ремонт охранной сигнализации СП ООШ №23</t>
  </si>
  <si>
    <t>Ремонт системы охранного телевидения СП ООШ №23</t>
  </si>
  <si>
    <t>МАДОУ "Детский сад № 72"</t>
  </si>
  <si>
    <t>МАДОУ "Детский сад № 96"</t>
  </si>
  <si>
    <t>МАДОУ "Детский сад комбинированного вида № 43"</t>
  </si>
  <si>
    <t>МАДОУ "Детский сад комбинированного вида № 47"</t>
  </si>
  <si>
    <t>Устройство калитки</t>
  </si>
  <si>
    <t>Ремонт помещений</t>
  </si>
  <si>
    <t xml:space="preserve">Монтаж дверей </t>
  </si>
  <si>
    <t>МАДОУ "Детский сад комбинированного вида № 36"</t>
  </si>
  <si>
    <t>Монтаж металлической двери</t>
  </si>
  <si>
    <t>МАДОУ "Детский сад № 17"</t>
  </si>
  <si>
    <t>Монтаж системы вентиляции</t>
  </si>
  <si>
    <t>МАДОУ "Детский сад № 5"</t>
  </si>
  <si>
    <t>МАДОУ "Детский сад № 2"</t>
  </si>
  <si>
    <t>Ремонтные работы</t>
  </si>
  <si>
    <t>МАДОУ "Детский сад № 24"</t>
  </si>
  <si>
    <t>Замена дверей</t>
  </si>
  <si>
    <t>МАДОУ "Детский сад № 33"</t>
  </si>
  <si>
    <t>МАДОУ "Детский сад № 38"</t>
  </si>
  <si>
    <t>Приобретение двери</t>
  </si>
  <si>
    <t>МАДОУ "Детский сад № 44"</t>
  </si>
  <si>
    <t>МАДОУ "Детский сад № 47"</t>
  </si>
  <si>
    <t>Ремонт санитарного узла</t>
  </si>
  <si>
    <t>Противопожарные мероприятия</t>
  </si>
  <si>
    <t>МАДОУ "Детский сад № 59"</t>
  </si>
  <si>
    <t>МАДОУ "Детский сад № 61"</t>
  </si>
  <si>
    <t>Замена светильников</t>
  </si>
  <si>
    <t>МАДОУ "Детский сад № 62"</t>
  </si>
  <si>
    <t>МАДОУ "Детский сад № 63"</t>
  </si>
  <si>
    <t>МАДОУ "Детский сад № 65"</t>
  </si>
  <si>
    <t>Замена линолеума</t>
  </si>
  <si>
    <t>МАДОУ "Детский сад № 71"</t>
  </si>
  <si>
    <t>МАДОУ "Детский сад № 87"</t>
  </si>
  <si>
    <t>МАДОУ "Детский сад № 209"</t>
  </si>
  <si>
    <t>МАДОУ "Детский сад № 91"</t>
  </si>
  <si>
    <t>МАДОУ "Детский сад комбинированного вида № 33"</t>
  </si>
  <si>
    <t xml:space="preserve">Приобретение материалов для ремонта ограждения </t>
  </si>
  <si>
    <t xml:space="preserve">Монтаж системы контроля доступа </t>
  </si>
  <si>
    <t>МАОУ СОШ № 34</t>
  </si>
  <si>
    <t>МАОУ СОШ № 8</t>
  </si>
  <si>
    <t>МАОУ СОШ № 4</t>
  </si>
  <si>
    <t>Ремонт коридора</t>
  </si>
  <si>
    <t>МАОУ СОШ № 90</t>
  </si>
  <si>
    <t>Замена освещения</t>
  </si>
  <si>
    <t>Установка перегородки</t>
  </si>
  <si>
    <t>МАУ ДО ЦЮТ</t>
  </si>
  <si>
    <t>Приобретение материалов для ремонтных работ</t>
  </si>
  <si>
    <t>МАОУ СОШ № 25</t>
  </si>
  <si>
    <t>Учреждения дополнительного образования</t>
  </si>
  <si>
    <t>МАДОУ "Детский сад № 73"</t>
  </si>
  <si>
    <t>Монтаж притяжной вентиляции</t>
  </si>
  <si>
    <t>МАДОУ "Детский сад № 92"</t>
  </si>
  <si>
    <t>Услуги прохождения государственной экспертизы</t>
  </si>
  <si>
    <t>Аварийный ремонт системы отопления</t>
  </si>
  <si>
    <t>МАДОУ "Детский сад комбинированного вида № 15"</t>
  </si>
  <si>
    <t>Монтаж разделительного забора, в том числе разработка проектно-сметной документации</t>
  </si>
  <si>
    <t>Восстановление работоспособности системы видеонаблюдения</t>
  </si>
  <si>
    <t>Монтаж системы контроля управления доступом</t>
  </si>
  <si>
    <t>МАДОУ "Детский сад № 75"</t>
  </si>
  <si>
    <t>Монтаж дополнительных камер видеонаблюдения</t>
  </si>
  <si>
    <t>МАДОУ "Детский сад комбинированного вида № 38"</t>
  </si>
  <si>
    <t>Восстановление аварийного освещения</t>
  </si>
  <si>
    <t>Монтаж системы контроля доступа</t>
  </si>
  <si>
    <t xml:space="preserve">МАОУ СОШ № 2 </t>
  </si>
  <si>
    <t>Ремонт системы АПС</t>
  </si>
  <si>
    <t>Ремонт системы видеонаблюдения</t>
  </si>
  <si>
    <t>МАОУ СОШ № 21</t>
  </si>
  <si>
    <t>Разработка проектно-сметной документации на капитальный ремонт здания СП ООШ №5</t>
  </si>
  <si>
    <t>Монтаж освещения на фасаде здания</t>
  </si>
  <si>
    <t>Прочие учреждения</t>
  </si>
  <si>
    <t>МАУ ЦООД Горный</t>
  </si>
  <si>
    <t xml:space="preserve">Монтаж системы оповещения </t>
  </si>
  <si>
    <t>МАДОУ "Детский сад № 76"</t>
  </si>
  <si>
    <t>Замена стеклопакетов</t>
  </si>
  <si>
    <t>МАДОУ "Детский сад № 29"</t>
  </si>
  <si>
    <t>МАДОУ "Детский сад комбинированного вида № 5"</t>
  </si>
  <si>
    <t>Ремонт АПС</t>
  </si>
  <si>
    <t>Аварийные работы в системе отопления</t>
  </si>
  <si>
    <t>Аварийный ремонт ХВС</t>
  </si>
  <si>
    <t>МАДОУ "Детский сад комбинированного вида № 137"</t>
  </si>
  <si>
    <t>МАДОУ "Детский сад № 98"</t>
  </si>
  <si>
    <t>Монтаж дополнительных камер видеонаблюдения, дооборудование системы видеонаблюдения</t>
  </si>
  <si>
    <t>монтаж камер системы видеонаблюдения</t>
  </si>
  <si>
    <t>оснащение видеонаблюдением контрольно-пропускного пункта</t>
  </si>
  <si>
    <t>МАДОУ "Детский сад №7"</t>
  </si>
  <si>
    <t>Аварийный ремонт ЛЭП</t>
  </si>
  <si>
    <t>Ремонт кровли</t>
  </si>
  <si>
    <t>Аварийный ремонт канализации</t>
  </si>
  <si>
    <t>Аварийный ремонт  помещений</t>
  </si>
  <si>
    <t>Приобретение краски, монтаж дверей</t>
  </si>
  <si>
    <t>МАДОУ "Детский сад №15"</t>
  </si>
  <si>
    <t>Ремонт кровли, технический надзор за работами, проведение негосударственной экспертизы сметной стоимости работ, осуществление строительного контроля (технического надзора)</t>
  </si>
  <si>
    <t>Монтаж системы пожарной безопасности, рабочий проект ПС и СО,
управления эвакуацией людей при пожаре</t>
  </si>
  <si>
    <t>МАОУ СОШ № 3</t>
  </si>
  <si>
    <t>Ремонт пожарного водопровода</t>
  </si>
  <si>
    <t>Аварийный ремонт</t>
  </si>
  <si>
    <t>МАУ ЦООД "Лесная сказка"</t>
  </si>
  <si>
    <t>Дооборудование системы видеонаблюдения</t>
  </si>
  <si>
    <t>Ремонт ограждения территории</t>
  </si>
  <si>
    <t>Аварийная ситуация на вводе тепловой сети</t>
  </si>
  <si>
    <t>Разработка сметной документации</t>
  </si>
  <si>
    <t>Ремонт сантехнических перегородок</t>
  </si>
  <si>
    <t>Приобретение линолеума</t>
  </si>
  <si>
    <t>Приобретение строительных материалов</t>
  </si>
  <si>
    <t>Приобретение бетона</t>
  </si>
  <si>
    <t>Ремонт СП ООШ №23 (канализация, ремонт помещений, ремонт кровли), в том числе технический надзор</t>
  </si>
  <si>
    <t>Ремонтные работы СП ДС №69</t>
  </si>
  <si>
    <t>МАУ ЦООД Лесная сказка</t>
  </si>
  <si>
    <t>Приобретение противопожарной краски</t>
  </si>
  <si>
    <t>Ремонт водонапорной башни, приобретение строительных материалов для ремонта и подготовки лагеря</t>
  </si>
  <si>
    <t>Монтаж ограждения</t>
  </si>
  <si>
    <t>Монтаж перегородок</t>
  </si>
  <si>
    <t>Аварийный ремонт теплотрассы</t>
  </si>
  <si>
    <t>МАОУ СОШ № 36</t>
  </si>
  <si>
    <t>Устройство независимой канализации СП ООШ №№12,19</t>
  </si>
  <si>
    <t>Замена оконных блоков (дополнительные работы)</t>
  </si>
  <si>
    <t>МАУ ДО ДДиЮ</t>
  </si>
  <si>
    <t xml:space="preserve">Ремонт актового зала, в том числе проведение обследования </t>
  </si>
  <si>
    <t>проведение инженерно-геологических изысканий</t>
  </si>
  <si>
    <t>разработка проектна на капитальный ремонт здания</t>
  </si>
  <si>
    <t>Ремонт теплообменника, канализации</t>
  </si>
  <si>
    <t>МАДОУ "Детский сад № 137"</t>
  </si>
  <si>
    <t>Установка двери</t>
  </si>
  <si>
    <t>монтаж узла учета</t>
  </si>
  <si>
    <t>Приобретение материалов для ремонтных работ монтаж узла учета</t>
  </si>
  <si>
    <t>МАДОУ "Детский сад № 84"</t>
  </si>
  <si>
    <t>МАДОУ "Детский сад № 77"</t>
  </si>
  <si>
    <t>МАДОУ "Детский сад № 143"</t>
  </si>
  <si>
    <t>замена расходомера на обратном трубопроводе</t>
  </si>
  <si>
    <t xml:space="preserve"> монтаж системы водоснабжения и водоотведения в кабинетах врача и процедурном</t>
  </si>
  <si>
    <t>МАДОУ "Детский сад № 80"</t>
  </si>
  <si>
    <t>МАДОУ "Детский сад № 90"</t>
  </si>
  <si>
    <t>Приобретение  и монтаж ворот и калитки</t>
  </si>
  <si>
    <t>МАОУ СОШ № 37</t>
  </si>
  <si>
    <t>Устройство притяжной вентиляции на пищеблоках</t>
  </si>
  <si>
    <t>Устройство временного ограждения</t>
  </si>
  <si>
    <t>МАДОУ "Детский сад № 95"</t>
  </si>
  <si>
    <t>Ремонт ограждения территории (ворота, калитка)</t>
  </si>
  <si>
    <t>Ремонт помещений "Доброшколы", кабинетов РАС</t>
  </si>
  <si>
    <t>Ремонт системы контроля управления доступом, замена входной двери</t>
  </si>
  <si>
    <t>Перечень объектов и работ по ремонтам и противопожарным мероприятиям в учреждениях, подведомственных муниципальному казенному учреждению Управление образования и молодежной политики Златоустовского городского округа на 2024 год</t>
  </si>
  <si>
    <t>(рублей)</t>
  </si>
  <si>
    <t>Перечень объектов и видов мероприятий антитеррористической направленности в учреждениях, подведомственных муниципальному казенному учреждению Управление образования и молодежной политики Златоустовского городского округа на 2024 год</t>
  </si>
  <si>
    <t xml:space="preserve">ПРИЛОЖЕНИЕ 2
Утверждено
распоряжением администрации
Златоустовского городского округа
от 23.07.2024 г. № 1929-р/АДМ
</t>
  </si>
  <si>
    <t xml:space="preserve">ПРИЛОЖЕНИЕ 1
Утверждено
распоряжением администрации
Златоустовского городского округа
от 23.07.2024 г. № 1929-р/АДМ
</t>
  </si>
</sst>
</file>

<file path=xl/styles.xml><?xml version="1.0" encoding="utf-8"?>
<styleSheet xmlns="http://schemas.openxmlformats.org/spreadsheetml/2006/main">
  <numFmts count="5">
    <numFmt numFmtId="43" formatCode="_-* #,##0.00\ _₽_-;\-* #,##0.00\ _₽_-;_-* &quot;-&quot;??\ _₽_-;_-@_-"/>
    <numFmt numFmtId="164" formatCode="_(* #,##0.00_);_(* \(#,##0.00\);_(* &quot;-&quot;??_);_(@_)"/>
    <numFmt numFmtId="165" formatCode="_(* #,##0.000000000_);_(* \(#,##0.000000000\);_(* &quot;-&quot;??_);_(@_)"/>
    <numFmt numFmtId="166" formatCode="_(* #,##0.0000_);_(* \(#,##0.0000\);_(* &quot;-&quot;??_);_(@_)"/>
    <numFmt numFmtId="167" formatCode="_-* #,##0.0000\ _₽_-;\-* #,##0.0000\ _₽_-;_-* &quot;-&quot;????\ _₽_-;_-@_-"/>
  </numFmts>
  <fonts count="7"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Times New Roman"/>
      <family val="1"/>
      <charset val="204"/>
    </font>
    <font>
      <sz val="14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i/>
      <sz val="10"/>
      <name val="Times New Roman"/>
      <family val="1"/>
      <charset val="204"/>
    </font>
    <font>
      <sz val="8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1" fillId="0" borderId="0"/>
  </cellStyleXfs>
  <cellXfs count="206">
    <xf numFmtId="0" fontId="0" fillId="0" borderId="0" xfId="0"/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left"/>
    </xf>
    <xf numFmtId="0" fontId="2" fillId="2" borderId="0" xfId="0" applyFont="1" applyFill="1"/>
    <xf numFmtId="0" fontId="2" fillId="2" borderId="0" xfId="0" applyFont="1" applyFill="1" applyAlignment="1">
      <alignment wrapText="1" shrinkToFit="1"/>
    </xf>
    <xf numFmtId="164" fontId="2" fillId="2" borderId="0" xfId="1" applyFont="1" applyFill="1" applyAlignment="1">
      <alignment wrapText="1" shrinkToFit="1"/>
    </xf>
    <xf numFmtId="164" fontId="2" fillId="2" borderId="5" xfId="1" applyFont="1" applyFill="1" applyBorder="1" applyAlignment="1">
      <alignment horizontal="center" vertical="center" wrapText="1" shrinkToFit="1"/>
    </xf>
    <xf numFmtId="0" fontId="4" fillId="2" borderId="5" xfId="0" applyFont="1" applyFill="1" applyBorder="1" applyAlignment="1">
      <alignment horizontal="left" vertical="center" wrapText="1"/>
    </xf>
    <xf numFmtId="164" fontId="2" fillId="2" borderId="5" xfId="1" applyFont="1" applyFill="1" applyBorder="1" applyAlignment="1">
      <alignment horizontal="right" vertical="center" wrapText="1" shrinkToFit="1"/>
    </xf>
    <xf numFmtId="0" fontId="2" fillId="2" borderId="5" xfId="0" applyFont="1" applyFill="1" applyBorder="1" applyAlignment="1">
      <alignment horizontal="left" vertical="center" wrapText="1" shrinkToFit="1"/>
    </xf>
    <xf numFmtId="0" fontId="0" fillId="2" borderId="0" xfId="0" applyFill="1" applyAlignment="1">
      <alignment horizontal="center" vertical="center"/>
    </xf>
    <xf numFmtId="0" fontId="0" fillId="2" borderId="0" xfId="0" applyFill="1"/>
    <xf numFmtId="0" fontId="0" fillId="2" borderId="0" xfId="0" applyFill="1" applyAlignment="1">
      <alignment wrapText="1" shrinkToFit="1"/>
    </xf>
    <xf numFmtId="0" fontId="2" fillId="2" borderId="0" xfId="0" applyFont="1" applyFill="1" applyAlignment="1">
      <alignment horizontal="center" vertical="center"/>
    </xf>
    <xf numFmtId="164" fontId="2" fillId="2" borderId="0" xfId="1" applyFont="1" applyFill="1" applyAlignment="1">
      <alignment horizontal="right"/>
    </xf>
    <xf numFmtId="164" fontId="2" fillId="2" borderId="5" xfId="1" applyFont="1" applyFill="1" applyBorder="1" applyAlignment="1">
      <alignment horizontal="right" vertical="center"/>
    </xf>
    <xf numFmtId="164" fontId="0" fillId="2" borderId="0" xfId="1" applyFont="1" applyFill="1" applyAlignment="1">
      <alignment wrapText="1" shrinkToFit="1"/>
    </xf>
    <xf numFmtId="164" fontId="0" fillId="2" borderId="0" xfId="1" applyFont="1" applyFill="1" applyAlignment="1">
      <alignment horizontal="right"/>
    </xf>
    <xf numFmtId="164" fontId="2" fillId="2" borderId="0" xfId="1" applyFont="1" applyFill="1" applyAlignment="1">
      <alignment horizontal="center" wrapText="1" shrinkToFit="1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vertical="center" wrapText="1" shrinkToFit="1"/>
    </xf>
    <xf numFmtId="164" fontId="2" fillId="0" borderId="5" xfId="1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 wrapText="1" shrinkToFit="1"/>
    </xf>
    <xf numFmtId="0" fontId="2" fillId="2" borderId="5" xfId="0" applyFont="1" applyFill="1" applyBorder="1" applyAlignment="1">
      <alignment horizontal="left" vertical="center"/>
    </xf>
    <xf numFmtId="0" fontId="2" fillId="2" borderId="5" xfId="0" applyFont="1" applyFill="1" applyBorder="1" applyAlignment="1">
      <alignment horizontal="center" vertical="center" wrapText="1" shrinkToFit="1"/>
    </xf>
    <xf numFmtId="164" fontId="2" fillId="2" borderId="5" xfId="1" applyFont="1" applyFill="1" applyBorder="1" applyAlignment="1">
      <alignment horizontal="center" vertical="center" wrapText="1" shrinkToFit="1"/>
    </xf>
    <xf numFmtId="0" fontId="4" fillId="2" borderId="4" xfId="0" applyFont="1" applyFill="1" applyBorder="1" applyAlignment="1">
      <alignment horizontal="left" vertical="center" wrapText="1"/>
    </xf>
    <xf numFmtId="0" fontId="0" fillId="0" borderId="0" xfId="0" applyAlignment="1">
      <alignment horizontal="left" wrapText="1" shrinkToFit="1"/>
    </xf>
    <xf numFmtId="0" fontId="2" fillId="2" borderId="0" xfId="0" applyFont="1" applyFill="1" applyAlignment="1">
      <alignment horizontal="left" wrapText="1" shrinkToFit="1"/>
    </xf>
    <xf numFmtId="0" fontId="0" fillId="2" borderId="0" xfId="0" applyFill="1" applyAlignment="1">
      <alignment horizontal="left" wrapText="1" shrinkToFit="1"/>
    </xf>
    <xf numFmtId="164" fontId="5" fillId="2" borderId="5" xfId="1" applyFont="1" applyFill="1" applyBorder="1" applyAlignment="1">
      <alignment horizontal="center" vertical="center"/>
    </xf>
    <xf numFmtId="0" fontId="2" fillId="2" borderId="5" xfId="0" applyFont="1" applyFill="1" applyBorder="1" applyAlignment="1">
      <alignment vertical="center"/>
    </xf>
    <xf numFmtId="164" fontId="2" fillId="2" borderId="5" xfId="1" applyFont="1" applyFill="1" applyBorder="1" applyAlignment="1">
      <alignment vertical="center"/>
    </xf>
    <xf numFmtId="164" fontId="5" fillId="2" borderId="5" xfId="1" applyFont="1" applyFill="1" applyBorder="1" applyAlignment="1">
      <alignment vertical="center"/>
    </xf>
    <xf numFmtId="164" fontId="4" fillId="2" borderId="5" xfId="1" applyFont="1" applyFill="1" applyBorder="1" applyAlignment="1">
      <alignment vertical="center"/>
    </xf>
    <xf numFmtId="0" fontId="0" fillId="2" borderId="5" xfId="0" applyFill="1" applyBorder="1" applyAlignment="1">
      <alignment horizontal="center" vertical="center"/>
    </xf>
    <xf numFmtId="164" fontId="2" fillId="0" borderId="0" xfId="1" applyFont="1" applyFill="1" applyAlignment="1">
      <alignment horizontal="right" vertical="center"/>
    </xf>
    <xf numFmtId="164" fontId="2" fillId="0" borderId="5" xfId="1" applyFont="1" applyFill="1" applyBorder="1" applyAlignment="1">
      <alignment horizontal="right" vertical="center"/>
    </xf>
    <xf numFmtId="165" fontId="2" fillId="2" borderId="0" xfId="1" applyNumberFormat="1" applyFont="1" applyFill="1" applyAlignment="1">
      <alignment horizontal="right" vertical="center"/>
    </xf>
    <xf numFmtId="164" fontId="2" fillId="2" borderId="0" xfId="1" applyFont="1" applyFill="1" applyAlignment="1">
      <alignment horizontal="right" vertical="center"/>
    </xf>
    <xf numFmtId="164" fontId="2" fillId="0" borderId="0" xfId="1" applyFont="1" applyFill="1" applyAlignment="1">
      <alignment horizontal="right" wrapText="1" shrinkToFit="1"/>
    </xf>
    <xf numFmtId="164" fontId="2" fillId="0" borderId="5" xfId="1" applyFont="1" applyFill="1" applyBorder="1" applyAlignment="1">
      <alignment horizontal="right" vertical="center" wrapText="1" shrinkToFit="1"/>
    </xf>
    <xf numFmtId="4" fontId="2" fillId="0" borderId="5" xfId="1" applyNumberFormat="1" applyFont="1" applyFill="1" applyBorder="1" applyAlignment="1">
      <alignment horizontal="center" vertical="center"/>
    </xf>
    <xf numFmtId="164" fontId="2" fillId="0" borderId="4" xfId="1" applyFont="1" applyFill="1" applyBorder="1" applyAlignment="1">
      <alignment horizontal="right" vertical="center" wrapText="1" shrinkToFit="1"/>
    </xf>
    <xf numFmtId="0" fontId="0" fillId="0" borderId="0" xfId="0" applyFill="1" applyAlignment="1">
      <alignment horizontal="center" vertical="center"/>
    </xf>
    <xf numFmtId="0" fontId="0" fillId="0" borderId="0" xfId="0" applyFill="1"/>
    <xf numFmtId="0" fontId="0" fillId="0" borderId="0" xfId="0" applyFill="1" applyAlignment="1">
      <alignment wrapText="1" shrinkToFit="1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left"/>
    </xf>
    <xf numFmtId="0" fontId="2" fillId="0" borderId="0" xfId="0" applyFont="1" applyFill="1"/>
    <xf numFmtId="0" fontId="2" fillId="0" borderId="0" xfId="0" applyFont="1" applyFill="1" applyAlignment="1">
      <alignment horizontal="left" wrapText="1" shrinkToFit="1"/>
    </xf>
    <xf numFmtId="0" fontId="2" fillId="0" borderId="0" xfId="0" applyFont="1" applyFill="1" applyAlignment="1">
      <alignment wrapText="1" shrinkToFit="1"/>
    </xf>
    <xf numFmtId="0" fontId="2" fillId="0" borderId="5" xfId="0" applyFont="1" applyFill="1" applyBorder="1" applyAlignment="1">
      <alignment horizontal="center" vertical="center" wrapText="1" shrinkToFit="1"/>
    </xf>
    <xf numFmtId="0" fontId="2" fillId="0" borderId="5" xfId="0" applyFont="1" applyFill="1" applyBorder="1" applyAlignment="1">
      <alignment horizontal="left" vertical="center" wrapText="1" shrinkToFit="1"/>
    </xf>
    <xf numFmtId="0" fontId="4" fillId="0" borderId="5" xfId="0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horizontal="left" vertical="center"/>
    </xf>
    <xf numFmtId="0" fontId="4" fillId="0" borderId="5" xfId="0" applyFont="1" applyFill="1" applyBorder="1" applyAlignment="1">
      <alignment vertical="center" wrapText="1"/>
    </xf>
    <xf numFmtId="0" fontId="4" fillId="0" borderId="4" xfId="0" applyFont="1" applyFill="1" applyBorder="1" applyAlignment="1">
      <alignment horizontal="left" vertical="center" wrapText="1"/>
    </xf>
    <xf numFmtId="4" fontId="2" fillId="0" borderId="5" xfId="0" applyNumberFormat="1" applyFont="1" applyFill="1" applyBorder="1"/>
    <xf numFmtId="0" fontId="2" fillId="0" borderId="5" xfId="0" applyFont="1" applyFill="1" applyBorder="1" applyAlignment="1">
      <alignment vertical="center"/>
    </xf>
    <xf numFmtId="0" fontId="2" fillId="0" borderId="5" xfId="0" applyFont="1" applyFill="1" applyBorder="1" applyAlignment="1">
      <alignment horizontal="left" vertical="center" wrapText="1" shrinkToFit="1"/>
    </xf>
    <xf numFmtId="164" fontId="2" fillId="0" borderId="5" xfId="1" applyFont="1" applyFill="1" applyBorder="1" applyAlignment="1">
      <alignment horizontal="right" vertical="center" wrapText="1" shrinkToFit="1"/>
    </xf>
    <xf numFmtId="4" fontId="2" fillId="0" borderId="5" xfId="1" applyNumberFormat="1" applyFont="1" applyFill="1" applyBorder="1" applyAlignment="1">
      <alignment horizontal="center" vertical="center"/>
    </xf>
    <xf numFmtId="164" fontId="2" fillId="2" borderId="4" xfId="1" applyFont="1" applyFill="1" applyBorder="1" applyAlignment="1">
      <alignment horizontal="center" vertical="center" wrapText="1" shrinkToFit="1"/>
    </xf>
    <xf numFmtId="164" fontId="2" fillId="2" borderId="5" xfId="1" applyFont="1" applyFill="1" applyBorder="1" applyAlignment="1">
      <alignment horizontal="center" vertical="center" wrapText="1" shrinkToFit="1"/>
    </xf>
    <xf numFmtId="0" fontId="2" fillId="2" borderId="5" xfId="0" applyFont="1" applyFill="1" applyBorder="1" applyAlignment="1">
      <alignment horizontal="left" vertical="center" wrapText="1" shrinkToFit="1"/>
    </xf>
    <xf numFmtId="0" fontId="4" fillId="2" borderId="4" xfId="0" applyFont="1" applyFill="1" applyBorder="1" applyAlignment="1">
      <alignment horizontal="left" vertical="center" wrapText="1"/>
    </xf>
    <xf numFmtId="164" fontId="2" fillId="0" borderId="4" xfId="1" applyFont="1" applyFill="1" applyBorder="1" applyAlignment="1">
      <alignment horizontal="right" vertical="center" wrapText="1" shrinkToFit="1"/>
    </xf>
    <xf numFmtId="0" fontId="4" fillId="0" borderId="5" xfId="0" applyFont="1" applyFill="1" applyBorder="1" applyAlignment="1">
      <alignment vertical="center" wrapText="1"/>
    </xf>
    <xf numFmtId="0" fontId="2" fillId="0" borderId="5" xfId="0" applyFont="1" applyFill="1" applyBorder="1" applyAlignment="1">
      <alignment horizontal="left" vertical="center" wrapText="1" shrinkToFit="1"/>
    </xf>
    <xf numFmtId="164" fontId="2" fillId="0" borderId="5" xfId="1" applyFont="1" applyFill="1" applyBorder="1" applyAlignment="1">
      <alignment horizontal="right" vertical="center" wrapText="1" shrinkToFit="1"/>
    </xf>
    <xf numFmtId="4" fontId="2" fillId="0" borderId="5" xfId="1" applyNumberFormat="1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left" vertical="center" wrapText="1"/>
    </xf>
    <xf numFmtId="164" fontId="2" fillId="2" borderId="5" xfId="1" applyFont="1" applyFill="1" applyBorder="1" applyAlignment="1">
      <alignment horizontal="center" vertical="center" wrapText="1" shrinkToFit="1"/>
    </xf>
    <xf numFmtId="164" fontId="2" fillId="2" borderId="1" xfId="1" applyFont="1" applyFill="1" applyBorder="1" applyAlignment="1">
      <alignment horizontal="right" vertical="center" wrapText="1" shrinkToFit="1"/>
    </xf>
    <xf numFmtId="0" fontId="4" fillId="2" borderId="1" xfId="0" applyFont="1" applyFill="1" applyBorder="1" applyAlignment="1">
      <alignment horizontal="left" vertical="center" wrapText="1"/>
    </xf>
    <xf numFmtId="0" fontId="2" fillId="2" borderId="5" xfId="0" applyFont="1" applyFill="1" applyBorder="1" applyAlignment="1">
      <alignment horizontal="left" vertical="center" wrapText="1" shrinkToFit="1"/>
    </xf>
    <xf numFmtId="0" fontId="2" fillId="2" borderId="1" xfId="0" applyFont="1" applyFill="1" applyBorder="1" applyAlignment="1">
      <alignment horizontal="left" vertical="center"/>
    </xf>
    <xf numFmtId="0" fontId="2" fillId="0" borderId="5" xfId="0" applyFont="1" applyFill="1" applyBorder="1" applyAlignment="1">
      <alignment horizontal="left" vertical="center" wrapText="1" shrinkToFit="1"/>
    </xf>
    <xf numFmtId="164" fontId="2" fillId="0" borderId="5" xfId="1" applyFont="1" applyFill="1" applyBorder="1" applyAlignment="1">
      <alignment horizontal="right" vertical="center" wrapText="1" shrinkToFit="1"/>
    </xf>
    <xf numFmtId="0" fontId="4" fillId="0" borderId="5" xfId="0" applyFont="1" applyFill="1" applyBorder="1" applyAlignment="1">
      <alignment horizontal="left" vertical="center" wrapText="1"/>
    </xf>
    <xf numFmtId="4" fontId="2" fillId="0" borderId="5" xfId="1" applyNumberFormat="1" applyFont="1" applyFill="1" applyBorder="1" applyAlignment="1">
      <alignment horizontal="center" vertical="center"/>
    </xf>
    <xf numFmtId="43" fontId="0" fillId="2" borderId="0" xfId="0" applyNumberFormat="1" applyFill="1"/>
    <xf numFmtId="164" fontId="2" fillId="0" borderId="1" xfId="1" applyFont="1" applyFill="1" applyBorder="1" applyAlignment="1">
      <alignment horizontal="right" vertical="center"/>
    </xf>
    <xf numFmtId="43" fontId="2" fillId="2" borderId="0" xfId="0" applyNumberFormat="1" applyFont="1" applyFill="1"/>
    <xf numFmtId="4" fontId="2" fillId="0" borderId="5" xfId="1" applyNumberFormat="1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left" vertical="center" wrapText="1"/>
    </xf>
    <xf numFmtId="0" fontId="4" fillId="2" borderId="6" xfId="0" applyFont="1" applyFill="1" applyBorder="1" applyAlignment="1">
      <alignment horizontal="left" vertical="center" wrapText="1"/>
    </xf>
    <xf numFmtId="166" fontId="2" fillId="2" borderId="0" xfId="1" applyNumberFormat="1" applyFont="1" applyFill="1"/>
    <xf numFmtId="167" fontId="2" fillId="2" borderId="0" xfId="0" applyNumberFormat="1" applyFont="1" applyFill="1"/>
    <xf numFmtId="164" fontId="4" fillId="2" borderId="5" xfId="1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left" vertical="center" wrapText="1"/>
    </xf>
    <xf numFmtId="0" fontId="4" fillId="0" borderId="5" xfId="0" applyFont="1" applyFill="1" applyBorder="1" applyAlignment="1">
      <alignment horizontal="left" vertical="center" wrapText="1"/>
    </xf>
    <xf numFmtId="0" fontId="2" fillId="2" borderId="5" xfId="0" applyFont="1" applyFill="1" applyBorder="1" applyAlignment="1">
      <alignment horizontal="left" vertical="center" wrapText="1" shrinkToFit="1"/>
    </xf>
    <xf numFmtId="164" fontId="2" fillId="2" borderId="1" xfId="1" applyFont="1" applyFill="1" applyBorder="1" applyAlignment="1">
      <alignment vertical="center" wrapText="1" shrinkToFit="1"/>
    </xf>
    <xf numFmtId="164" fontId="2" fillId="2" borderId="4" xfId="1" applyFont="1" applyFill="1" applyBorder="1" applyAlignment="1">
      <alignment vertical="center" wrapText="1" shrinkToFit="1"/>
    </xf>
    <xf numFmtId="164" fontId="2" fillId="2" borderId="6" xfId="1" applyFont="1" applyFill="1" applyBorder="1" applyAlignment="1">
      <alignment vertical="center" wrapText="1" shrinkToFit="1"/>
    </xf>
    <xf numFmtId="164" fontId="2" fillId="2" borderId="5" xfId="1" applyFont="1" applyFill="1" applyBorder="1" applyAlignment="1">
      <alignment horizontal="center" vertical="center" wrapText="1" shrinkToFit="1"/>
    </xf>
    <xf numFmtId="164" fontId="2" fillId="0" borderId="4" xfId="1" applyFont="1" applyFill="1" applyBorder="1" applyAlignment="1">
      <alignment horizontal="right" vertical="center" wrapText="1" shrinkToFit="1"/>
    </xf>
    <xf numFmtId="164" fontId="2" fillId="2" borderId="1" xfId="1" applyFont="1" applyFill="1" applyBorder="1" applyAlignment="1">
      <alignment horizontal="center" vertical="center" wrapText="1" shrinkToFit="1"/>
    </xf>
    <xf numFmtId="164" fontId="2" fillId="2" borderId="4" xfId="1" applyFont="1" applyFill="1" applyBorder="1" applyAlignment="1">
      <alignment horizontal="center" vertical="center" wrapText="1" shrinkToFit="1"/>
    </xf>
    <xf numFmtId="0" fontId="4" fillId="2" borderId="4" xfId="0" applyFont="1" applyFill="1" applyBorder="1" applyAlignment="1">
      <alignment horizontal="left" vertical="center" wrapText="1"/>
    </xf>
    <xf numFmtId="0" fontId="2" fillId="2" borderId="5" xfId="0" applyFont="1" applyFill="1" applyBorder="1" applyAlignment="1">
      <alignment horizontal="center" vertical="center" wrapText="1" shrinkToFit="1"/>
    </xf>
    <xf numFmtId="0" fontId="4" fillId="2" borderId="6" xfId="0" applyFont="1" applyFill="1" applyBorder="1" applyAlignment="1">
      <alignment horizontal="left" vertical="center" wrapText="1"/>
    </xf>
    <xf numFmtId="0" fontId="2" fillId="2" borderId="5" xfId="0" applyFont="1" applyFill="1" applyBorder="1" applyAlignment="1">
      <alignment horizontal="left" vertical="center" wrapText="1" shrinkToFit="1"/>
    </xf>
    <xf numFmtId="0" fontId="2" fillId="2" borderId="5" xfId="0" applyFont="1" applyFill="1" applyBorder="1" applyAlignment="1">
      <alignment horizontal="left" vertical="center"/>
    </xf>
    <xf numFmtId="164" fontId="2" fillId="0" borderId="5" xfId="1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left" vertical="center" wrapText="1" shrinkToFit="1"/>
    </xf>
    <xf numFmtId="0" fontId="4" fillId="0" borderId="5" xfId="0" applyFont="1" applyFill="1" applyBorder="1" applyAlignment="1">
      <alignment horizontal="left" vertical="center" wrapText="1"/>
    </xf>
    <xf numFmtId="4" fontId="2" fillId="0" borderId="5" xfId="1" applyNumberFormat="1" applyFont="1" applyFill="1" applyBorder="1" applyAlignment="1">
      <alignment horizontal="center" vertical="center"/>
    </xf>
    <xf numFmtId="164" fontId="2" fillId="0" borderId="6" xfId="1" applyFont="1" applyFill="1" applyBorder="1" applyAlignment="1">
      <alignment horizontal="right" vertical="center" wrapText="1" shrinkToFit="1"/>
    </xf>
    <xf numFmtId="164" fontId="2" fillId="2" borderId="0" xfId="1" applyFont="1" applyFill="1"/>
    <xf numFmtId="164" fontId="0" fillId="2" borderId="0" xfId="0" applyNumberFormat="1" applyFill="1"/>
    <xf numFmtId="4" fontId="2" fillId="2" borderId="5" xfId="1" applyNumberFormat="1" applyFont="1" applyFill="1" applyBorder="1" applyAlignment="1">
      <alignment horizontal="center" vertical="center"/>
    </xf>
    <xf numFmtId="164" fontId="2" fillId="2" borderId="5" xfId="1" applyFont="1" applyFill="1" applyBorder="1" applyAlignment="1">
      <alignment horizontal="center" vertical="center" wrapText="1" shrinkToFit="1"/>
    </xf>
    <xf numFmtId="164" fontId="2" fillId="0" borderId="5" xfId="1" applyFont="1" applyFill="1" applyBorder="1" applyAlignment="1">
      <alignment horizontal="center" vertical="center" wrapText="1" shrinkToFit="1"/>
    </xf>
    <xf numFmtId="164" fontId="2" fillId="0" borderId="1" xfId="1" applyFont="1" applyFill="1" applyBorder="1" applyAlignment="1">
      <alignment horizontal="right" vertical="center" wrapText="1" shrinkToFit="1"/>
    </xf>
    <xf numFmtId="164" fontId="2" fillId="0" borderId="4" xfId="1" applyFont="1" applyFill="1" applyBorder="1" applyAlignment="1">
      <alignment horizontal="right" vertical="center" wrapText="1" shrinkToFit="1"/>
    </xf>
    <xf numFmtId="164" fontId="2" fillId="2" borderId="1" xfId="1" applyFont="1" applyFill="1" applyBorder="1" applyAlignment="1">
      <alignment horizontal="center" vertical="center" wrapText="1" shrinkToFit="1"/>
    </xf>
    <xf numFmtId="164" fontId="2" fillId="2" borderId="4" xfId="1" applyFont="1" applyFill="1" applyBorder="1" applyAlignment="1">
      <alignment horizontal="center" vertical="center" wrapText="1" shrinkToFit="1"/>
    </xf>
    <xf numFmtId="164" fontId="2" fillId="0" borderId="6" xfId="1" applyFont="1" applyFill="1" applyBorder="1" applyAlignment="1">
      <alignment horizontal="right" vertical="center" wrapText="1" shrinkToFit="1"/>
    </xf>
    <xf numFmtId="164" fontId="2" fillId="2" borderId="6" xfId="1" applyFont="1" applyFill="1" applyBorder="1" applyAlignment="1">
      <alignment horizontal="center" vertical="center" wrapText="1" shrinkToFit="1"/>
    </xf>
    <xf numFmtId="0" fontId="4" fillId="2" borderId="1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left" vertical="center" wrapText="1"/>
    </xf>
    <xf numFmtId="164" fontId="2" fillId="0" borderId="1" xfId="1" applyFont="1" applyFill="1" applyBorder="1" applyAlignment="1">
      <alignment horizontal="right" vertical="center"/>
    </xf>
    <xf numFmtId="164" fontId="2" fillId="0" borderId="4" xfId="1" applyFont="1" applyFill="1" applyBorder="1" applyAlignment="1">
      <alignment horizontal="right" vertical="center"/>
    </xf>
    <xf numFmtId="164" fontId="2" fillId="2" borderId="1" xfId="1" applyFont="1" applyFill="1" applyBorder="1" applyAlignment="1">
      <alignment horizontal="left" vertical="center"/>
    </xf>
    <xf numFmtId="164" fontId="2" fillId="2" borderId="4" xfId="1" applyFont="1" applyFill="1" applyBorder="1" applyAlignment="1">
      <alignment horizontal="left" vertical="center"/>
    </xf>
    <xf numFmtId="164" fontId="2" fillId="2" borderId="1" xfId="1" applyFont="1" applyFill="1" applyBorder="1" applyAlignment="1">
      <alignment horizontal="left" vertical="center" wrapText="1" shrinkToFit="1"/>
    </xf>
    <xf numFmtId="164" fontId="2" fillId="2" borderId="4" xfId="1" applyFont="1" applyFill="1" applyBorder="1" applyAlignment="1">
      <alignment horizontal="left" vertical="center" wrapText="1" shrinkToFit="1"/>
    </xf>
    <xf numFmtId="164" fontId="4" fillId="0" borderId="5" xfId="1" applyFont="1" applyFill="1" applyBorder="1" applyAlignment="1">
      <alignment horizontal="center" vertical="center"/>
    </xf>
    <xf numFmtId="164" fontId="2" fillId="2" borderId="5" xfId="1" applyFont="1" applyFill="1" applyBorder="1" applyAlignment="1">
      <alignment horizontal="center" vertical="center"/>
    </xf>
    <xf numFmtId="164" fontId="5" fillId="2" borderId="5" xfId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 shrinkToFit="1"/>
    </xf>
    <xf numFmtId="0" fontId="2" fillId="2" borderId="6" xfId="0" applyFont="1" applyFill="1" applyBorder="1" applyAlignment="1">
      <alignment horizontal="center" vertical="center" wrapText="1" shrinkToFit="1"/>
    </xf>
    <xf numFmtId="0" fontId="2" fillId="2" borderId="4" xfId="0" applyFont="1" applyFill="1" applyBorder="1" applyAlignment="1">
      <alignment horizontal="center" vertical="center" wrapText="1" shrinkToFit="1"/>
    </xf>
    <xf numFmtId="0" fontId="2" fillId="2" borderId="1" xfId="0" applyFont="1" applyFill="1" applyBorder="1" applyAlignment="1">
      <alignment horizontal="left" vertical="center"/>
    </xf>
    <xf numFmtId="0" fontId="2" fillId="2" borderId="4" xfId="0" applyFont="1" applyFill="1" applyBorder="1" applyAlignment="1">
      <alignment horizontal="left" vertical="center"/>
    </xf>
    <xf numFmtId="164" fontId="2" fillId="2" borderId="1" xfId="1" applyFont="1" applyFill="1" applyBorder="1" applyAlignment="1">
      <alignment horizontal="center" vertical="center"/>
    </xf>
    <xf numFmtId="164" fontId="2" fillId="2" borderId="4" xfId="1" applyFont="1" applyFill="1" applyBorder="1" applyAlignment="1">
      <alignment horizontal="center" vertical="center"/>
    </xf>
    <xf numFmtId="164" fontId="2" fillId="0" borderId="1" xfId="1" applyFont="1" applyFill="1" applyBorder="1" applyAlignment="1">
      <alignment horizontal="center" vertical="center"/>
    </xf>
    <xf numFmtId="164" fontId="2" fillId="0" borderId="4" xfId="1" applyFont="1" applyFill="1" applyBorder="1" applyAlignment="1">
      <alignment horizontal="center" vertical="center"/>
    </xf>
    <xf numFmtId="164" fontId="4" fillId="2" borderId="1" xfId="1" applyFont="1" applyFill="1" applyBorder="1" applyAlignment="1">
      <alignment horizontal="center" vertical="center"/>
    </xf>
    <xf numFmtId="164" fontId="4" fillId="2" borderId="4" xfId="1" applyFont="1" applyFill="1" applyBorder="1" applyAlignment="1">
      <alignment horizontal="center" vertical="center"/>
    </xf>
    <xf numFmtId="164" fontId="5" fillId="2" borderId="1" xfId="1" applyFont="1" applyFill="1" applyBorder="1" applyAlignment="1">
      <alignment horizontal="center" vertical="center"/>
    </xf>
    <xf numFmtId="164" fontId="5" fillId="2" borderId="4" xfId="1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left" vertical="center"/>
    </xf>
    <xf numFmtId="0" fontId="2" fillId="2" borderId="6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164" fontId="2" fillId="2" borderId="1" xfId="1" applyFont="1" applyFill="1" applyBorder="1" applyAlignment="1">
      <alignment horizontal="right" vertical="center" wrapText="1" shrinkToFit="1"/>
    </xf>
    <xf numFmtId="164" fontId="2" fillId="2" borderId="4" xfId="1" applyFont="1" applyFill="1" applyBorder="1" applyAlignment="1">
      <alignment horizontal="right" vertical="center" wrapText="1" shrinkToFit="1"/>
    </xf>
    <xf numFmtId="164" fontId="4" fillId="0" borderId="1" xfId="1" applyFont="1" applyFill="1" applyBorder="1" applyAlignment="1">
      <alignment horizontal="right" vertical="center" wrapText="1" shrinkToFit="1"/>
    </xf>
    <xf numFmtId="164" fontId="4" fillId="0" borderId="4" xfId="1" applyFont="1" applyFill="1" applyBorder="1" applyAlignment="1">
      <alignment horizontal="right" vertical="center" wrapText="1" shrinkToFit="1"/>
    </xf>
    <xf numFmtId="164" fontId="4" fillId="2" borderId="1" xfId="1" applyFont="1" applyFill="1" applyBorder="1" applyAlignment="1">
      <alignment horizontal="center" vertical="center" wrapText="1" shrinkToFit="1"/>
    </xf>
    <xf numFmtId="164" fontId="4" fillId="2" borderId="4" xfId="1" applyFont="1" applyFill="1" applyBorder="1" applyAlignment="1">
      <alignment horizontal="center" vertical="center" wrapText="1" shrinkToFit="1"/>
    </xf>
    <xf numFmtId="164" fontId="4" fillId="2" borderId="1" xfId="1" applyFont="1" applyFill="1" applyBorder="1" applyAlignment="1">
      <alignment horizontal="right" vertical="center" wrapText="1" shrinkToFit="1"/>
    </xf>
    <xf numFmtId="164" fontId="4" fillId="2" borderId="4" xfId="1" applyFont="1" applyFill="1" applyBorder="1" applyAlignment="1">
      <alignment horizontal="right" vertical="center" wrapText="1" shrinkToFit="1"/>
    </xf>
    <xf numFmtId="164" fontId="3" fillId="0" borderId="0" xfId="1" applyFont="1" applyFill="1" applyAlignment="1">
      <alignment horizontal="center" wrapText="1" shrinkToFit="1"/>
    </xf>
    <xf numFmtId="0" fontId="2" fillId="2" borderId="5" xfId="0" applyFont="1" applyFill="1" applyBorder="1" applyAlignment="1">
      <alignment horizontal="right" vertical="center"/>
    </xf>
    <xf numFmtId="164" fontId="2" fillId="2" borderId="5" xfId="1" applyFont="1" applyFill="1" applyBorder="1" applyAlignment="1">
      <alignment horizontal="center" vertical="center" wrapText="1" shrinkToFit="1"/>
    </xf>
    <xf numFmtId="0" fontId="2" fillId="2" borderId="2" xfId="0" applyFont="1" applyFill="1" applyBorder="1" applyAlignment="1">
      <alignment horizontal="right" vertical="center"/>
    </xf>
    <xf numFmtId="0" fontId="2" fillId="2" borderId="7" xfId="0" applyFont="1" applyFill="1" applyBorder="1" applyAlignment="1">
      <alignment horizontal="right" vertical="center"/>
    </xf>
    <xf numFmtId="0" fontId="2" fillId="2" borderId="3" xfId="0" applyFont="1" applyFill="1" applyBorder="1" applyAlignment="1">
      <alignment horizontal="right" vertical="center"/>
    </xf>
    <xf numFmtId="0" fontId="2" fillId="2" borderId="5" xfId="0" applyFont="1" applyFill="1" applyBorder="1" applyAlignment="1">
      <alignment horizontal="right" vertical="center" wrapText="1" shrinkToFit="1"/>
    </xf>
    <xf numFmtId="0" fontId="2" fillId="0" borderId="0" xfId="0" applyFont="1" applyAlignment="1">
      <alignment horizontal="center" vertical="center" wrapText="1" shrinkToFit="1"/>
    </xf>
    <xf numFmtId="0" fontId="2" fillId="2" borderId="5" xfId="0" applyFont="1" applyFill="1" applyBorder="1" applyAlignment="1">
      <alignment horizontal="center" vertical="center" wrapText="1" shrinkToFit="1"/>
    </xf>
    <xf numFmtId="0" fontId="4" fillId="2" borderId="6" xfId="0" applyFont="1" applyFill="1" applyBorder="1" applyAlignment="1">
      <alignment horizontal="left" vertical="center" wrapText="1"/>
    </xf>
    <xf numFmtId="0" fontId="2" fillId="2" borderId="5" xfId="0" applyFont="1" applyFill="1" applyBorder="1" applyAlignment="1">
      <alignment horizontal="left" vertical="center" wrapText="1" shrinkToFit="1"/>
    </xf>
    <xf numFmtId="0" fontId="4" fillId="2" borderId="6" xfId="0" applyFont="1" applyFill="1" applyBorder="1" applyAlignment="1">
      <alignment horizontal="center" vertical="center" wrapText="1"/>
    </xf>
    <xf numFmtId="164" fontId="2" fillId="2" borderId="6" xfId="1" applyFont="1" applyFill="1" applyBorder="1" applyAlignment="1">
      <alignment horizontal="right" vertical="center" wrapText="1" shrinkToFit="1"/>
    </xf>
    <xf numFmtId="164" fontId="2" fillId="2" borderId="6" xfId="1" applyFont="1" applyFill="1" applyBorder="1" applyAlignment="1">
      <alignment horizontal="center" vertical="center"/>
    </xf>
    <xf numFmtId="164" fontId="4" fillId="2" borderId="6" xfId="1" applyFont="1" applyFill="1" applyBorder="1" applyAlignment="1">
      <alignment horizontal="center" vertical="center"/>
    </xf>
    <xf numFmtId="164" fontId="5" fillId="2" borderId="6" xfId="1" applyFont="1" applyFill="1" applyBorder="1" applyAlignment="1">
      <alignment horizontal="center" vertical="center"/>
    </xf>
    <xf numFmtId="164" fontId="4" fillId="0" borderId="1" xfId="1" applyFont="1" applyFill="1" applyBorder="1" applyAlignment="1">
      <alignment horizontal="center" vertical="center"/>
    </xf>
    <xf numFmtId="164" fontId="4" fillId="0" borderId="4" xfId="1" applyFont="1" applyFill="1" applyBorder="1" applyAlignment="1">
      <alignment horizontal="center" vertical="center"/>
    </xf>
    <xf numFmtId="164" fontId="4" fillId="0" borderId="6" xfId="1" applyFont="1" applyFill="1" applyBorder="1" applyAlignment="1">
      <alignment horizontal="center" vertical="center"/>
    </xf>
    <xf numFmtId="164" fontId="2" fillId="0" borderId="6" xfId="1" applyFont="1" applyFill="1" applyBorder="1" applyAlignment="1">
      <alignment horizontal="center" vertical="center"/>
    </xf>
    <xf numFmtId="164" fontId="2" fillId="0" borderId="5" xfId="1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right" vertical="center"/>
    </xf>
    <xf numFmtId="0" fontId="2" fillId="0" borderId="8" xfId="0" applyFont="1" applyFill="1" applyBorder="1" applyAlignment="1">
      <alignment horizontal="right" vertical="center"/>
    </xf>
    <xf numFmtId="0" fontId="2" fillId="0" borderId="5" xfId="0" applyFont="1" applyFill="1" applyBorder="1" applyAlignment="1">
      <alignment horizontal="left" vertical="center" wrapText="1" shrinkToFit="1"/>
    </xf>
    <xf numFmtId="0" fontId="2" fillId="0" borderId="5" xfId="0" applyFont="1" applyFill="1" applyBorder="1" applyAlignment="1">
      <alignment horizontal="center" wrapText="1" shrinkToFit="1"/>
    </xf>
    <xf numFmtId="0" fontId="2" fillId="0" borderId="3" xfId="0" applyFont="1" applyFill="1" applyBorder="1" applyAlignment="1">
      <alignment horizontal="right" vertical="center"/>
    </xf>
    <xf numFmtId="0" fontId="2" fillId="0" borderId="5" xfId="0" applyFont="1" applyFill="1" applyBorder="1" applyAlignment="1">
      <alignment horizontal="center" vertical="center" wrapText="1" shrinkToFit="1"/>
    </xf>
    <xf numFmtId="164" fontId="2" fillId="0" borderId="1" xfId="1" applyFont="1" applyFill="1" applyBorder="1" applyAlignment="1">
      <alignment horizontal="center" vertical="center" wrapText="1" shrinkToFit="1"/>
    </xf>
    <xf numFmtId="164" fontId="2" fillId="0" borderId="4" xfId="1" applyFont="1" applyFill="1" applyBorder="1" applyAlignment="1">
      <alignment horizontal="center" vertical="center" wrapText="1" shrinkToFit="1"/>
    </xf>
    <xf numFmtId="0" fontId="4" fillId="0" borderId="5" xfId="0" applyFont="1" applyFill="1" applyBorder="1" applyAlignment="1">
      <alignment horizontal="left" vertical="center" wrapText="1"/>
    </xf>
    <xf numFmtId="0" fontId="2" fillId="0" borderId="0" xfId="0" applyFont="1" applyFill="1" applyAlignment="1">
      <alignment horizontal="center" vertical="center" wrapText="1" shrinkToFit="1"/>
    </xf>
    <xf numFmtId="0" fontId="2" fillId="0" borderId="1" xfId="0" applyFont="1" applyFill="1" applyBorder="1" applyAlignment="1">
      <alignment horizontal="left" vertical="center"/>
    </xf>
    <xf numFmtId="0" fontId="2" fillId="0" borderId="6" xfId="0" applyFont="1" applyFill="1" applyBorder="1" applyAlignment="1">
      <alignment horizontal="left" vertical="center"/>
    </xf>
    <xf numFmtId="0" fontId="2" fillId="0" borderId="4" xfId="0" applyFont="1" applyFill="1" applyBorder="1" applyAlignment="1">
      <alignment horizontal="left" vertical="center"/>
    </xf>
    <xf numFmtId="164" fontId="2" fillId="0" borderId="5" xfId="1" applyFont="1" applyFill="1" applyBorder="1" applyAlignment="1">
      <alignment horizontal="right" vertical="center" wrapText="1" shrinkToFit="1"/>
    </xf>
    <xf numFmtId="4" fontId="2" fillId="0" borderId="5" xfId="1" applyNumberFormat="1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 wrapText="1" shrinkToFit="1"/>
    </xf>
    <xf numFmtId="0" fontId="2" fillId="0" borderId="11" xfId="0" applyFont="1" applyFill="1" applyBorder="1" applyAlignment="1">
      <alignment horizontal="center" vertical="center" wrapText="1" shrinkToFit="1"/>
    </xf>
    <xf numFmtId="0" fontId="2" fillId="0" borderId="8" xfId="0" applyFont="1" applyFill="1" applyBorder="1" applyAlignment="1">
      <alignment horizontal="center" vertical="center" wrapText="1" shrinkToFit="1"/>
    </xf>
    <xf numFmtId="0" fontId="4" fillId="0" borderId="1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4" fillId="0" borderId="6" xfId="0" applyFont="1" applyFill="1" applyBorder="1" applyAlignment="1">
      <alignment horizontal="left" vertical="center" wrapText="1"/>
    </xf>
    <xf numFmtId="0" fontId="4" fillId="0" borderId="5" xfId="0" applyFont="1" applyFill="1" applyBorder="1" applyAlignment="1">
      <alignment vertical="center" wrapText="1"/>
    </xf>
    <xf numFmtId="0" fontId="2" fillId="0" borderId="5" xfId="0" applyFont="1" applyFill="1" applyBorder="1" applyAlignment="1">
      <alignment vertical="center" wrapText="1" shrinkToFit="1"/>
    </xf>
    <xf numFmtId="0" fontId="2" fillId="0" borderId="1" xfId="0" applyFont="1" applyFill="1" applyBorder="1" applyAlignment="1">
      <alignment horizontal="left" vertical="center" wrapText="1" shrinkToFit="1"/>
    </xf>
    <xf numFmtId="0" fontId="2" fillId="0" borderId="4" xfId="0" applyFont="1" applyFill="1" applyBorder="1" applyAlignment="1">
      <alignment horizontal="left" vertical="center" wrapText="1" shrinkToFit="1"/>
    </xf>
  </cellXfs>
  <cellStyles count="3">
    <cellStyle name="Обычный" xfId="0" builtinId="0"/>
    <cellStyle name="Обычный 2" xfId="2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36"/>
  <sheetViews>
    <sheetView tabSelected="1" zoomScale="112" zoomScaleNormal="112" workbookViewId="0">
      <selection activeCell="D1" sqref="D1:G7"/>
    </sheetView>
  </sheetViews>
  <sheetFormatPr defaultColWidth="9.140625" defaultRowHeight="12.75"/>
  <cols>
    <col min="1" max="1" width="15.5703125" style="10" customWidth="1"/>
    <col min="2" max="2" width="25.28515625" style="11" customWidth="1"/>
    <col min="3" max="3" width="34.85546875" style="29" customWidth="1"/>
    <col min="4" max="4" width="18.85546875" style="12" customWidth="1"/>
    <col min="5" max="5" width="16" style="16" customWidth="1"/>
    <col min="6" max="6" width="17.5703125" style="16" customWidth="1"/>
    <col min="7" max="7" width="20.7109375" style="17" customWidth="1"/>
    <col min="8" max="8" width="16.28515625" style="11" customWidth="1"/>
    <col min="9" max="9" width="16.42578125" style="11" bestFit="1" customWidth="1"/>
    <col min="10" max="10" width="16.85546875" style="11" customWidth="1"/>
    <col min="11" max="16384" width="9.140625" style="11"/>
  </cols>
  <sheetData>
    <row r="1" spans="1:9" customFormat="1" ht="76.5" customHeight="1">
      <c r="A1" s="19"/>
      <c r="C1" s="27"/>
      <c r="D1" s="158" t="s">
        <v>202</v>
      </c>
      <c r="E1" s="158"/>
      <c r="F1" s="158"/>
      <c r="G1" s="158"/>
    </row>
    <row r="2" spans="1:9" customFormat="1" ht="12.75" customHeight="1">
      <c r="A2" s="19"/>
      <c r="C2" s="27"/>
      <c r="D2" s="158"/>
      <c r="E2" s="158"/>
      <c r="F2" s="158"/>
      <c r="G2" s="158"/>
    </row>
    <row r="3" spans="1:9" customFormat="1" ht="12.75" customHeight="1">
      <c r="A3" s="19"/>
      <c r="C3" s="27"/>
      <c r="D3" s="158"/>
      <c r="E3" s="158"/>
      <c r="F3" s="158"/>
      <c r="G3" s="158"/>
    </row>
    <row r="4" spans="1:9" customFormat="1" ht="12.75" customHeight="1">
      <c r="A4" s="19"/>
      <c r="C4" s="27"/>
      <c r="D4" s="158"/>
      <c r="E4" s="158"/>
      <c r="F4" s="158"/>
      <c r="G4" s="158"/>
    </row>
    <row r="5" spans="1:9" customFormat="1" ht="21" customHeight="1">
      <c r="A5" s="19"/>
      <c r="C5" s="27"/>
      <c r="D5" s="158"/>
      <c r="E5" s="158"/>
      <c r="F5" s="158"/>
      <c r="G5" s="158"/>
    </row>
    <row r="6" spans="1:9" customFormat="1" ht="30.6" customHeight="1">
      <c r="A6" s="19"/>
      <c r="C6" s="27"/>
      <c r="D6" s="158"/>
      <c r="E6" s="158"/>
      <c r="F6" s="158"/>
      <c r="G6" s="158"/>
    </row>
    <row r="7" spans="1:9" customFormat="1" ht="33" customHeight="1">
      <c r="A7" s="19"/>
      <c r="C7" s="27"/>
      <c r="D7" s="158"/>
      <c r="E7" s="158"/>
      <c r="F7" s="158"/>
      <c r="G7" s="158"/>
    </row>
    <row r="8" spans="1:9" customFormat="1" ht="55.5" customHeight="1">
      <c r="A8" s="165" t="s">
        <v>198</v>
      </c>
      <c r="B8" s="165"/>
      <c r="C8" s="165"/>
      <c r="D8" s="165"/>
      <c r="E8" s="165"/>
      <c r="F8" s="165"/>
      <c r="G8" s="20"/>
    </row>
    <row r="9" spans="1:9" s="3" customFormat="1">
      <c r="A9" s="13"/>
      <c r="C9" s="28"/>
      <c r="D9" s="4"/>
      <c r="E9" s="18"/>
      <c r="F9" s="5"/>
      <c r="G9" s="14" t="s">
        <v>199</v>
      </c>
      <c r="H9" s="11"/>
      <c r="I9" s="11"/>
    </row>
    <row r="10" spans="1:9" s="3" customFormat="1">
      <c r="A10" s="166" t="s">
        <v>37</v>
      </c>
      <c r="B10" s="166" t="s">
        <v>0</v>
      </c>
      <c r="C10" s="168" t="s">
        <v>1</v>
      </c>
      <c r="D10" s="133" t="s">
        <v>2</v>
      </c>
      <c r="E10" s="160" t="s">
        <v>45</v>
      </c>
      <c r="F10" s="160" t="s">
        <v>4</v>
      </c>
      <c r="G10" s="160"/>
      <c r="H10" s="11"/>
      <c r="I10" s="11"/>
    </row>
    <row r="11" spans="1:9" s="3" customFormat="1" ht="60" customHeight="1">
      <c r="A11" s="166"/>
      <c r="B11" s="166"/>
      <c r="C11" s="168"/>
      <c r="D11" s="135"/>
      <c r="E11" s="160"/>
      <c r="F11" s="6" t="s">
        <v>38</v>
      </c>
      <c r="G11" s="114" t="s">
        <v>6</v>
      </c>
      <c r="H11" s="11"/>
      <c r="I11" s="11"/>
    </row>
    <row r="12" spans="1:9" s="3" customFormat="1" ht="12.75" customHeight="1">
      <c r="A12" s="133" t="s">
        <v>39</v>
      </c>
      <c r="B12" s="122" t="s">
        <v>71</v>
      </c>
      <c r="C12" s="9" t="s">
        <v>72</v>
      </c>
      <c r="D12" s="133" t="s">
        <v>40</v>
      </c>
      <c r="E12" s="118">
        <f>F12+G12</f>
        <v>2839099.9990000003</v>
      </c>
      <c r="F12" s="118"/>
      <c r="G12" s="116">
        <f>84660+2696735+2696735*0.0214-5.13</f>
        <v>2839099.9990000003</v>
      </c>
      <c r="H12" s="11"/>
      <c r="I12" s="11"/>
    </row>
    <row r="13" spans="1:9" s="3" customFormat="1">
      <c r="A13" s="134"/>
      <c r="B13" s="123"/>
      <c r="C13" s="104" t="s">
        <v>144</v>
      </c>
      <c r="D13" s="134"/>
      <c r="E13" s="119"/>
      <c r="F13" s="119"/>
      <c r="G13" s="117"/>
      <c r="H13" s="11"/>
      <c r="I13" s="11"/>
    </row>
    <row r="14" spans="1:9" s="3" customFormat="1">
      <c r="A14" s="134"/>
      <c r="B14" s="122" t="s">
        <v>70</v>
      </c>
      <c r="C14" s="9" t="s">
        <v>53</v>
      </c>
      <c r="D14" s="134"/>
      <c r="E14" s="118">
        <f t="shared" ref="E14:E66" si="0">F14+G14</f>
        <v>2265521.44</v>
      </c>
      <c r="F14" s="118"/>
      <c r="G14" s="116">
        <f>67390+2124000+13731.44+30000+30400</f>
        <v>2265521.44</v>
      </c>
      <c r="H14" s="11"/>
      <c r="I14" s="11"/>
    </row>
    <row r="15" spans="1:9" s="3" customFormat="1" ht="25.5">
      <c r="A15" s="134"/>
      <c r="B15" s="167"/>
      <c r="C15" s="7" t="s">
        <v>177</v>
      </c>
      <c r="D15" s="134"/>
      <c r="E15" s="121"/>
      <c r="F15" s="121"/>
      <c r="G15" s="120"/>
      <c r="H15" s="11"/>
      <c r="I15" s="11"/>
    </row>
    <row r="16" spans="1:9" s="3" customFormat="1">
      <c r="A16" s="134"/>
      <c r="B16" s="167"/>
      <c r="C16" s="7" t="s">
        <v>134</v>
      </c>
      <c r="D16" s="134"/>
      <c r="E16" s="121"/>
      <c r="F16" s="121"/>
      <c r="G16" s="120"/>
      <c r="H16" s="11"/>
      <c r="I16" s="11"/>
    </row>
    <row r="17" spans="1:9" s="3" customFormat="1">
      <c r="A17" s="134"/>
      <c r="B17" s="123"/>
      <c r="C17" s="65" t="s">
        <v>178</v>
      </c>
      <c r="D17" s="134"/>
      <c r="E17" s="119"/>
      <c r="F17" s="119"/>
      <c r="G17" s="117"/>
      <c r="H17" s="11"/>
      <c r="I17" s="11"/>
    </row>
    <row r="18" spans="1:9" s="3" customFormat="1">
      <c r="A18" s="134"/>
      <c r="B18" s="7" t="s">
        <v>142</v>
      </c>
      <c r="C18" s="76" t="s">
        <v>136</v>
      </c>
      <c r="D18" s="134"/>
      <c r="E18" s="73">
        <f t="shared" si="0"/>
        <v>106012.57</v>
      </c>
      <c r="F18" s="73"/>
      <c r="G18" s="79">
        <v>106012.57</v>
      </c>
      <c r="H18" s="11"/>
      <c r="I18" s="11"/>
    </row>
    <row r="19" spans="1:9" s="3" customFormat="1">
      <c r="A19" s="134"/>
      <c r="B19" s="87" t="s">
        <v>148</v>
      </c>
      <c r="C19" s="76" t="s">
        <v>53</v>
      </c>
      <c r="D19" s="134"/>
      <c r="E19" s="73">
        <f t="shared" si="0"/>
        <v>542110</v>
      </c>
      <c r="F19" s="73"/>
      <c r="G19" s="79">
        <v>542110</v>
      </c>
      <c r="H19" s="11"/>
      <c r="I19" s="11"/>
    </row>
    <row r="20" spans="1:9" s="3" customFormat="1">
      <c r="A20" s="134"/>
      <c r="B20" s="122" t="s">
        <v>68</v>
      </c>
      <c r="C20" s="9" t="s">
        <v>69</v>
      </c>
      <c r="D20" s="134"/>
      <c r="E20" s="118">
        <f t="shared" si="0"/>
        <v>2160173.64</v>
      </c>
      <c r="F20" s="118"/>
      <c r="G20" s="116">
        <v>2160173.64</v>
      </c>
      <c r="H20" s="11"/>
      <c r="I20" s="11"/>
    </row>
    <row r="21" spans="1:9" s="3" customFormat="1">
      <c r="A21" s="134"/>
      <c r="B21" s="167"/>
      <c r="C21" s="104" t="s">
        <v>144</v>
      </c>
      <c r="D21" s="134"/>
      <c r="E21" s="121"/>
      <c r="F21" s="121"/>
      <c r="G21" s="120"/>
      <c r="H21" s="11"/>
      <c r="I21" s="11"/>
    </row>
    <row r="22" spans="1:9" s="3" customFormat="1">
      <c r="A22" s="134"/>
      <c r="B22" s="123"/>
      <c r="C22" s="65" t="s">
        <v>146</v>
      </c>
      <c r="D22" s="134"/>
      <c r="E22" s="119"/>
      <c r="F22" s="119"/>
      <c r="G22" s="117"/>
      <c r="H22" s="112"/>
      <c r="I22" s="11"/>
    </row>
    <row r="23" spans="1:9" s="3" customFormat="1">
      <c r="A23" s="134"/>
      <c r="B23" s="122" t="s">
        <v>73</v>
      </c>
      <c r="C23" s="9" t="s">
        <v>53</v>
      </c>
      <c r="D23" s="134"/>
      <c r="E23" s="118">
        <f t="shared" si="0"/>
        <v>200454</v>
      </c>
      <c r="F23" s="118"/>
      <c r="G23" s="116">
        <f>90000+110454</f>
        <v>200454</v>
      </c>
      <c r="H23" s="11"/>
      <c r="I23" s="11"/>
    </row>
    <row r="24" spans="1:9" s="3" customFormat="1">
      <c r="A24" s="134"/>
      <c r="B24" s="123"/>
      <c r="C24" s="9" t="s">
        <v>74</v>
      </c>
      <c r="D24" s="134"/>
      <c r="E24" s="119">
        <f t="shared" si="0"/>
        <v>0</v>
      </c>
      <c r="F24" s="119"/>
      <c r="G24" s="117"/>
      <c r="H24" s="11"/>
      <c r="I24" s="11"/>
    </row>
    <row r="25" spans="1:9" s="3" customFormat="1">
      <c r="A25" s="134"/>
      <c r="B25" s="7" t="s">
        <v>132</v>
      </c>
      <c r="C25" s="65" t="s">
        <v>144</v>
      </c>
      <c r="D25" s="134"/>
      <c r="E25" s="100">
        <f t="shared" si="0"/>
        <v>413713.19</v>
      </c>
      <c r="F25" s="63"/>
      <c r="G25" s="67">
        <v>413713.19</v>
      </c>
      <c r="H25" s="11"/>
      <c r="I25" s="11"/>
    </row>
    <row r="26" spans="1:9" s="3" customFormat="1">
      <c r="A26" s="134"/>
      <c r="B26" s="122" t="s">
        <v>75</v>
      </c>
      <c r="C26" s="9" t="s">
        <v>53</v>
      </c>
      <c r="D26" s="134"/>
      <c r="E26" s="118">
        <f>G26</f>
        <v>7524500.0002000006</v>
      </c>
      <c r="F26" s="118"/>
      <c r="G26" s="116">
        <f>7290643+77904.95+7290643*0.0214-67.71</f>
        <v>7524500.0002000006</v>
      </c>
      <c r="H26" s="11"/>
      <c r="I26" s="11"/>
    </row>
    <row r="27" spans="1:9" s="3" customFormat="1">
      <c r="A27" s="134"/>
      <c r="B27" s="123"/>
      <c r="C27" s="104" t="s">
        <v>144</v>
      </c>
      <c r="D27" s="134"/>
      <c r="E27" s="119"/>
      <c r="F27" s="119"/>
      <c r="G27" s="117"/>
      <c r="H27" s="11"/>
      <c r="I27" s="11"/>
    </row>
    <row r="28" spans="1:9" s="3" customFormat="1">
      <c r="A28" s="134"/>
      <c r="B28" s="148" t="s">
        <v>76</v>
      </c>
      <c r="C28" s="9" t="s">
        <v>53</v>
      </c>
      <c r="D28" s="134"/>
      <c r="E28" s="118">
        <f t="shared" si="0"/>
        <v>414500</v>
      </c>
      <c r="F28" s="150"/>
      <c r="G28" s="116">
        <f>110000+304500</f>
        <v>414500</v>
      </c>
      <c r="H28" s="11"/>
      <c r="I28" s="11"/>
    </row>
    <row r="29" spans="1:9" s="3" customFormat="1">
      <c r="A29" s="134"/>
      <c r="B29" s="169"/>
      <c r="C29" s="104" t="s">
        <v>181</v>
      </c>
      <c r="D29" s="134"/>
      <c r="E29" s="121"/>
      <c r="F29" s="170"/>
      <c r="G29" s="120"/>
      <c r="H29" s="11"/>
      <c r="I29" s="11"/>
    </row>
    <row r="30" spans="1:9" s="3" customFormat="1">
      <c r="A30" s="134"/>
      <c r="B30" s="149"/>
      <c r="C30" s="9" t="s">
        <v>77</v>
      </c>
      <c r="D30" s="134"/>
      <c r="E30" s="119">
        <f t="shared" si="0"/>
        <v>0</v>
      </c>
      <c r="F30" s="151"/>
      <c r="G30" s="117"/>
      <c r="H30" s="11"/>
      <c r="I30" s="11"/>
    </row>
    <row r="31" spans="1:9" s="3" customFormat="1">
      <c r="A31" s="134"/>
      <c r="B31" s="122" t="s">
        <v>78</v>
      </c>
      <c r="C31" s="9" t="s">
        <v>53</v>
      </c>
      <c r="D31" s="134"/>
      <c r="E31" s="118">
        <f t="shared" si="0"/>
        <v>528669.09000000008</v>
      </c>
      <c r="F31" s="118"/>
      <c r="G31" s="116">
        <f>182100+346569.09</f>
        <v>528669.09000000008</v>
      </c>
      <c r="H31" s="11"/>
      <c r="I31" s="11"/>
    </row>
    <row r="32" spans="1:9" s="3" customFormat="1">
      <c r="A32" s="134"/>
      <c r="B32" s="123"/>
      <c r="C32" s="104" t="s">
        <v>181</v>
      </c>
      <c r="D32" s="134"/>
      <c r="E32" s="119"/>
      <c r="F32" s="119"/>
      <c r="G32" s="117"/>
      <c r="H32" s="11"/>
      <c r="I32" s="11"/>
    </row>
    <row r="33" spans="1:9" s="3" customFormat="1">
      <c r="A33" s="134"/>
      <c r="B33" s="122" t="s">
        <v>79</v>
      </c>
      <c r="C33" s="104" t="s">
        <v>181</v>
      </c>
      <c r="D33" s="134"/>
      <c r="E33" s="118">
        <f>G33</f>
        <v>724002.28</v>
      </c>
      <c r="F33" s="118"/>
      <c r="G33" s="116">
        <f>395055.92+328946.36</f>
        <v>724002.28</v>
      </c>
      <c r="H33" s="11"/>
      <c r="I33" s="11"/>
    </row>
    <row r="34" spans="1:9" s="3" customFormat="1" ht="18.75" customHeight="1">
      <c r="A34" s="134"/>
      <c r="B34" s="123"/>
      <c r="C34" s="9" t="s">
        <v>80</v>
      </c>
      <c r="D34" s="134"/>
      <c r="E34" s="119"/>
      <c r="F34" s="119"/>
      <c r="G34" s="117"/>
      <c r="H34" s="11"/>
      <c r="I34" s="11"/>
    </row>
    <row r="35" spans="1:9" s="3" customFormat="1">
      <c r="A35" s="134"/>
      <c r="B35" s="148" t="s">
        <v>49</v>
      </c>
      <c r="C35" s="9" t="s">
        <v>81</v>
      </c>
      <c r="D35" s="134"/>
      <c r="E35" s="118">
        <f t="shared" si="0"/>
        <v>207200</v>
      </c>
      <c r="F35" s="118"/>
      <c r="G35" s="116">
        <v>207200</v>
      </c>
      <c r="H35" s="11"/>
      <c r="I35" s="11"/>
    </row>
    <row r="36" spans="1:9" s="3" customFormat="1" ht="25.5">
      <c r="A36" s="134"/>
      <c r="B36" s="149"/>
      <c r="C36" s="104" t="s">
        <v>173</v>
      </c>
      <c r="D36" s="134"/>
      <c r="E36" s="119"/>
      <c r="F36" s="119"/>
      <c r="G36" s="117"/>
      <c r="H36" s="11"/>
      <c r="I36" s="11"/>
    </row>
    <row r="37" spans="1:9" s="3" customFormat="1">
      <c r="A37" s="134"/>
      <c r="B37" s="148" t="s">
        <v>41</v>
      </c>
      <c r="C37" s="9" t="s">
        <v>47</v>
      </c>
      <c r="D37" s="134"/>
      <c r="E37" s="154">
        <f>F37+G37</f>
        <v>4106050</v>
      </c>
      <c r="F37" s="156"/>
      <c r="G37" s="152">
        <f>4026050+80000</f>
        <v>4106050</v>
      </c>
      <c r="H37" s="11"/>
      <c r="I37" s="11"/>
    </row>
    <row r="38" spans="1:9" s="3" customFormat="1">
      <c r="A38" s="134"/>
      <c r="B38" s="149"/>
      <c r="C38" s="9" t="s">
        <v>53</v>
      </c>
      <c r="D38" s="134"/>
      <c r="E38" s="155"/>
      <c r="F38" s="157"/>
      <c r="G38" s="153"/>
      <c r="H38" s="11"/>
      <c r="I38" s="11"/>
    </row>
    <row r="39" spans="1:9" s="3" customFormat="1" ht="12.75" customHeight="1">
      <c r="A39" s="134"/>
      <c r="B39" s="75" t="s">
        <v>82</v>
      </c>
      <c r="C39" s="9" t="s">
        <v>102</v>
      </c>
      <c r="D39" s="134"/>
      <c r="E39" s="25">
        <f t="shared" si="0"/>
        <v>78640</v>
      </c>
      <c r="F39" s="6"/>
      <c r="G39" s="41">
        <v>78640</v>
      </c>
      <c r="H39" s="11"/>
      <c r="I39" s="11"/>
    </row>
    <row r="40" spans="1:9" s="3" customFormat="1">
      <c r="A40" s="134"/>
      <c r="B40" s="122" t="s">
        <v>83</v>
      </c>
      <c r="C40" s="9" t="s">
        <v>53</v>
      </c>
      <c r="D40" s="134"/>
      <c r="E40" s="118">
        <f t="shared" si="0"/>
        <v>121698.77</v>
      </c>
      <c r="F40" s="150"/>
      <c r="G40" s="116">
        <v>121698.77</v>
      </c>
      <c r="H40" s="11"/>
      <c r="I40" s="11"/>
    </row>
    <row r="41" spans="1:9" s="3" customFormat="1">
      <c r="A41" s="134"/>
      <c r="B41" s="123"/>
      <c r="C41" s="9" t="s">
        <v>84</v>
      </c>
      <c r="D41" s="134"/>
      <c r="E41" s="119">
        <f t="shared" si="0"/>
        <v>0</v>
      </c>
      <c r="F41" s="151"/>
      <c r="G41" s="117"/>
      <c r="H41" s="11"/>
      <c r="I41" s="11"/>
    </row>
    <row r="42" spans="1:9" s="3" customFormat="1">
      <c r="A42" s="134"/>
      <c r="B42" s="122" t="s">
        <v>85</v>
      </c>
      <c r="C42" s="9" t="s">
        <v>53</v>
      </c>
      <c r="D42" s="134"/>
      <c r="E42" s="118">
        <f t="shared" si="0"/>
        <v>556588.36</v>
      </c>
      <c r="F42" s="118"/>
      <c r="G42" s="116">
        <f>113700+442888.36</f>
        <v>556588.36</v>
      </c>
      <c r="H42" s="11"/>
      <c r="I42" s="11"/>
    </row>
    <row r="43" spans="1:9" s="3" customFormat="1">
      <c r="A43" s="134"/>
      <c r="B43" s="123"/>
      <c r="C43" s="104" t="s">
        <v>181</v>
      </c>
      <c r="D43" s="134"/>
      <c r="E43" s="119"/>
      <c r="F43" s="119"/>
      <c r="G43" s="117"/>
      <c r="H43" s="11"/>
      <c r="I43" s="11"/>
    </row>
    <row r="44" spans="1:9" s="3" customFormat="1">
      <c r="A44" s="134"/>
      <c r="B44" s="122" t="s">
        <v>86</v>
      </c>
      <c r="C44" s="9" t="s">
        <v>74</v>
      </c>
      <c r="D44" s="134"/>
      <c r="E44" s="118">
        <f t="shared" si="0"/>
        <v>168000</v>
      </c>
      <c r="F44" s="118"/>
      <c r="G44" s="116">
        <v>168000</v>
      </c>
      <c r="H44" s="11"/>
      <c r="I44" s="11"/>
    </row>
    <row r="45" spans="1:9" s="3" customFormat="1">
      <c r="A45" s="134"/>
      <c r="B45" s="123"/>
      <c r="C45" s="65" t="s">
        <v>143</v>
      </c>
      <c r="D45" s="134"/>
      <c r="E45" s="119"/>
      <c r="F45" s="119"/>
      <c r="G45" s="117"/>
      <c r="H45" s="11"/>
      <c r="I45" s="11"/>
    </row>
    <row r="46" spans="1:9" s="3" customFormat="1">
      <c r="A46" s="134"/>
      <c r="B46" s="122" t="s">
        <v>87</v>
      </c>
      <c r="C46" s="9" t="s">
        <v>74</v>
      </c>
      <c r="D46" s="134"/>
      <c r="E46" s="118">
        <f t="shared" si="0"/>
        <v>117000</v>
      </c>
      <c r="F46" s="150"/>
      <c r="G46" s="116">
        <v>117000</v>
      </c>
      <c r="H46" s="11"/>
      <c r="I46" s="11"/>
    </row>
    <row r="47" spans="1:9" s="3" customFormat="1">
      <c r="A47" s="134"/>
      <c r="B47" s="123"/>
      <c r="C47" s="9" t="s">
        <v>88</v>
      </c>
      <c r="D47" s="134"/>
      <c r="E47" s="119"/>
      <c r="F47" s="151"/>
      <c r="G47" s="117"/>
      <c r="H47" s="11"/>
      <c r="I47" s="11"/>
    </row>
    <row r="48" spans="1:9" s="3" customFormat="1">
      <c r="A48" s="134"/>
      <c r="B48" s="26" t="s">
        <v>89</v>
      </c>
      <c r="C48" s="9" t="s">
        <v>53</v>
      </c>
      <c r="D48" s="134"/>
      <c r="E48" s="25">
        <f t="shared" si="0"/>
        <v>77300</v>
      </c>
      <c r="F48" s="25"/>
      <c r="G48" s="43">
        <v>77300</v>
      </c>
      <c r="H48" s="11"/>
      <c r="I48" s="11"/>
    </row>
    <row r="49" spans="1:9" s="3" customFormat="1">
      <c r="A49" s="134"/>
      <c r="B49" s="66" t="s">
        <v>59</v>
      </c>
      <c r="C49" s="65" t="s">
        <v>135</v>
      </c>
      <c r="D49" s="134"/>
      <c r="E49" s="64">
        <f t="shared" si="0"/>
        <v>303816.21000000002</v>
      </c>
      <c r="F49" s="64"/>
      <c r="G49" s="67">
        <f>247294.39+56521.82</f>
        <v>303816.21000000002</v>
      </c>
      <c r="H49" s="11"/>
      <c r="I49" s="11"/>
    </row>
    <row r="50" spans="1:9" s="3" customFormat="1">
      <c r="A50" s="134"/>
      <c r="B50" s="122" t="s">
        <v>107</v>
      </c>
      <c r="C50" s="9" t="s">
        <v>108</v>
      </c>
      <c r="D50" s="134"/>
      <c r="E50" s="118">
        <f t="shared" si="0"/>
        <v>1204683.22</v>
      </c>
      <c r="F50" s="118"/>
      <c r="G50" s="116">
        <v>1204683.22</v>
      </c>
      <c r="H50" s="11"/>
      <c r="I50" s="11"/>
    </row>
    <row r="51" spans="1:9" s="3" customFormat="1">
      <c r="A51" s="134"/>
      <c r="B51" s="167"/>
      <c r="C51" s="93" t="s">
        <v>53</v>
      </c>
      <c r="D51" s="134"/>
      <c r="E51" s="121"/>
      <c r="F51" s="121"/>
      <c r="G51" s="120"/>
      <c r="H51" s="11"/>
      <c r="I51" s="11"/>
    </row>
    <row r="52" spans="1:9" s="3" customFormat="1">
      <c r="A52" s="134"/>
      <c r="B52" s="167"/>
      <c r="C52" s="93" t="s">
        <v>164</v>
      </c>
      <c r="D52" s="134"/>
      <c r="E52" s="121"/>
      <c r="F52" s="121"/>
      <c r="G52" s="120"/>
      <c r="H52" s="11"/>
      <c r="I52" s="11"/>
    </row>
    <row r="53" spans="1:9" s="3" customFormat="1">
      <c r="A53" s="134"/>
      <c r="B53" s="123"/>
      <c r="C53" s="76" t="s">
        <v>145</v>
      </c>
      <c r="D53" s="134"/>
      <c r="E53" s="119"/>
      <c r="F53" s="119"/>
      <c r="G53" s="117"/>
      <c r="H53" s="112"/>
      <c r="I53" s="11"/>
    </row>
    <row r="54" spans="1:9" s="3" customFormat="1">
      <c r="A54" s="134"/>
      <c r="B54" s="101" t="s">
        <v>184</v>
      </c>
      <c r="C54" s="104" t="s">
        <v>181</v>
      </c>
      <c r="D54" s="134"/>
      <c r="E54" s="97">
        <f t="shared" si="0"/>
        <v>378556</v>
      </c>
      <c r="F54" s="97"/>
      <c r="G54" s="98">
        <v>378556</v>
      </c>
      <c r="H54" s="11"/>
      <c r="I54" s="11"/>
    </row>
    <row r="55" spans="1:9" s="3" customFormat="1">
      <c r="A55" s="134"/>
      <c r="B55" s="101" t="s">
        <v>188</v>
      </c>
      <c r="C55" s="104" t="s">
        <v>53</v>
      </c>
      <c r="D55" s="134"/>
      <c r="E55" s="97">
        <f t="shared" si="0"/>
        <v>98400</v>
      </c>
      <c r="F55" s="97"/>
      <c r="G55" s="98">
        <v>98400</v>
      </c>
      <c r="H55" s="11"/>
      <c r="I55" s="11"/>
    </row>
    <row r="56" spans="1:9" s="3" customFormat="1">
      <c r="A56" s="134"/>
      <c r="B56" s="122" t="s">
        <v>183</v>
      </c>
      <c r="C56" s="104" t="str">
        <f>C68</f>
        <v>монтаж узла учета</v>
      </c>
      <c r="D56" s="134"/>
      <c r="E56" s="118">
        <f t="shared" si="0"/>
        <v>401872.06</v>
      </c>
      <c r="F56" s="118"/>
      <c r="G56" s="116">
        <f>296739.19+105132.87</f>
        <v>401872.06</v>
      </c>
      <c r="H56" s="11"/>
      <c r="I56" s="11"/>
    </row>
    <row r="57" spans="1:9" s="3" customFormat="1">
      <c r="A57" s="134"/>
      <c r="B57" s="123"/>
      <c r="C57" s="104" t="s">
        <v>53</v>
      </c>
      <c r="D57" s="134"/>
      <c r="E57" s="119"/>
      <c r="F57" s="119"/>
      <c r="G57" s="117"/>
      <c r="H57" s="11"/>
      <c r="I57" s="11"/>
    </row>
    <row r="58" spans="1:9" s="3" customFormat="1">
      <c r="A58" s="134"/>
      <c r="B58" s="122" t="s">
        <v>90</v>
      </c>
      <c r="C58" s="9" t="s">
        <v>53</v>
      </c>
      <c r="D58" s="134"/>
      <c r="E58" s="118">
        <f t="shared" si="0"/>
        <v>438391.35</v>
      </c>
      <c r="F58" s="118"/>
      <c r="G58" s="116">
        <f>102185.04+336206.31</f>
        <v>438391.35</v>
      </c>
      <c r="H58" s="11"/>
      <c r="I58" s="11"/>
    </row>
    <row r="59" spans="1:9" s="3" customFormat="1">
      <c r="A59" s="134"/>
      <c r="B59" s="123"/>
      <c r="C59" s="104" t="s">
        <v>181</v>
      </c>
      <c r="D59" s="134"/>
      <c r="E59" s="119"/>
      <c r="F59" s="119"/>
      <c r="G59" s="117"/>
      <c r="H59" s="11"/>
      <c r="I59" s="11"/>
    </row>
    <row r="60" spans="1:9" s="3" customFormat="1">
      <c r="A60" s="134"/>
      <c r="B60" s="103" t="s">
        <v>189</v>
      </c>
      <c r="C60" s="104" t="s">
        <v>53</v>
      </c>
      <c r="D60" s="134"/>
      <c r="E60" s="97">
        <f t="shared" si="0"/>
        <v>250000</v>
      </c>
      <c r="F60" s="100"/>
      <c r="G60" s="98">
        <v>250000</v>
      </c>
      <c r="H60" s="11"/>
      <c r="I60" s="11"/>
    </row>
    <row r="61" spans="1:9" s="3" customFormat="1">
      <c r="A61" s="134"/>
      <c r="B61" s="122" t="s">
        <v>92</v>
      </c>
      <c r="C61" s="9" t="s">
        <v>53</v>
      </c>
      <c r="D61" s="134"/>
      <c r="E61" s="118">
        <f t="shared" si="0"/>
        <v>279341.54000000004</v>
      </c>
      <c r="F61" s="118"/>
      <c r="G61" s="116">
        <f>34911.34+244430.2</f>
        <v>279341.54000000004</v>
      </c>
      <c r="H61" s="11"/>
      <c r="I61" s="11"/>
    </row>
    <row r="62" spans="1:9" s="3" customFormat="1">
      <c r="A62" s="134"/>
      <c r="B62" s="123"/>
      <c r="C62" s="65" t="s">
        <v>170</v>
      </c>
      <c r="D62" s="134"/>
      <c r="E62" s="119"/>
      <c r="F62" s="119"/>
      <c r="G62" s="117"/>
      <c r="H62" s="11"/>
      <c r="I62" s="11"/>
    </row>
    <row r="63" spans="1:9" s="3" customFormat="1">
      <c r="A63" s="134"/>
      <c r="B63" s="122" t="s">
        <v>109</v>
      </c>
      <c r="C63" s="9" t="s">
        <v>53</v>
      </c>
      <c r="D63" s="134"/>
      <c r="E63" s="118">
        <f t="shared" si="0"/>
        <v>545007.59000000008</v>
      </c>
      <c r="F63" s="118"/>
      <c r="G63" s="116">
        <f>150000+395007.59</f>
        <v>545007.59000000008</v>
      </c>
      <c r="H63" s="11"/>
      <c r="I63" s="11"/>
    </row>
    <row r="64" spans="1:9" s="3" customFormat="1">
      <c r="A64" s="134"/>
      <c r="B64" s="123"/>
      <c r="C64" s="104" t="s">
        <v>181</v>
      </c>
      <c r="D64" s="134"/>
      <c r="E64" s="119"/>
      <c r="F64" s="119"/>
      <c r="G64" s="117"/>
      <c r="H64" s="11"/>
      <c r="I64" s="11"/>
    </row>
    <row r="65" spans="1:10" s="3" customFormat="1">
      <c r="A65" s="134"/>
      <c r="B65" s="101" t="s">
        <v>179</v>
      </c>
      <c r="C65" s="104" t="s">
        <v>180</v>
      </c>
      <c r="D65" s="134"/>
      <c r="E65" s="97">
        <f t="shared" si="0"/>
        <v>47100</v>
      </c>
      <c r="F65" s="97"/>
      <c r="G65" s="98">
        <v>47100</v>
      </c>
      <c r="H65" s="11"/>
      <c r="I65" s="11"/>
    </row>
    <row r="66" spans="1:10" s="3" customFormat="1" ht="25.5">
      <c r="A66" s="134"/>
      <c r="B66" s="101" t="s">
        <v>185</v>
      </c>
      <c r="C66" s="104" t="s">
        <v>186</v>
      </c>
      <c r="D66" s="134"/>
      <c r="E66" s="97">
        <f t="shared" si="0"/>
        <v>279680</v>
      </c>
      <c r="F66" s="99"/>
      <c r="G66" s="110">
        <v>279680</v>
      </c>
      <c r="H66" s="11"/>
      <c r="I66" s="11"/>
    </row>
    <row r="67" spans="1:10" s="3" customFormat="1">
      <c r="A67" s="134"/>
      <c r="B67" s="122" t="s">
        <v>91</v>
      </c>
      <c r="C67" s="9" t="s">
        <v>53</v>
      </c>
      <c r="D67" s="134"/>
      <c r="E67" s="118">
        <f>G67</f>
        <v>699404.26</v>
      </c>
      <c r="F67" s="118"/>
      <c r="G67" s="116">
        <f>444592+80400+174412.26</f>
        <v>699404.26</v>
      </c>
      <c r="H67" s="11"/>
      <c r="I67" s="11"/>
    </row>
    <row r="68" spans="1:10" s="3" customFormat="1">
      <c r="A68" s="134"/>
      <c r="B68" s="167"/>
      <c r="C68" s="104" t="s">
        <v>181</v>
      </c>
      <c r="D68" s="134"/>
      <c r="E68" s="121"/>
      <c r="F68" s="121"/>
      <c r="G68" s="120"/>
      <c r="H68" s="11"/>
      <c r="I68" s="11"/>
    </row>
    <row r="69" spans="1:10" s="3" customFormat="1">
      <c r="A69" s="134"/>
      <c r="B69" s="123"/>
      <c r="C69" s="65" t="s">
        <v>145</v>
      </c>
      <c r="D69" s="135"/>
      <c r="E69" s="119"/>
      <c r="F69" s="119"/>
      <c r="G69" s="117"/>
      <c r="H69" s="11"/>
      <c r="I69" s="11"/>
    </row>
    <row r="70" spans="1:10" s="3" customFormat="1" ht="114.75">
      <c r="A70" s="134"/>
      <c r="B70" s="7" t="s">
        <v>49</v>
      </c>
      <c r="C70" s="9" t="s">
        <v>50</v>
      </c>
      <c r="D70" s="22" t="s">
        <v>51</v>
      </c>
      <c r="E70" s="8">
        <f>F70+G70</f>
        <v>1280300</v>
      </c>
      <c r="F70" s="6">
        <f>1436400-50000-156100</f>
        <v>1230300</v>
      </c>
      <c r="G70" s="41">
        <v>50000</v>
      </c>
      <c r="H70" s="11"/>
      <c r="I70" s="11"/>
    </row>
    <row r="71" spans="1:10">
      <c r="A71" s="134"/>
      <c r="B71" s="161" t="s">
        <v>36</v>
      </c>
      <c r="C71" s="162"/>
      <c r="D71" s="163"/>
      <c r="E71" s="15">
        <f>SUM(E12:E70)</f>
        <v>29357785.569200002</v>
      </c>
      <c r="F71" s="15">
        <f>SUM(F12:F70)</f>
        <v>1230300</v>
      </c>
      <c r="G71" s="37">
        <f>SUM(G12:G70)</f>
        <v>28127485.569200002</v>
      </c>
      <c r="H71" s="82"/>
      <c r="I71" s="82"/>
      <c r="J71" s="82"/>
    </row>
    <row r="72" spans="1:10">
      <c r="A72" s="135"/>
      <c r="B72" s="159" t="s">
        <v>42</v>
      </c>
      <c r="C72" s="159"/>
      <c r="D72" s="159"/>
      <c r="E72" s="15">
        <f>E35</f>
        <v>207200</v>
      </c>
      <c r="F72" s="15">
        <f>F35</f>
        <v>0</v>
      </c>
      <c r="G72" s="37">
        <f>G35</f>
        <v>207200</v>
      </c>
      <c r="I72" s="82"/>
      <c r="J72" s="82"/>
    </row>
    <row r="73" spans="1:10">
      <c r="A73" s="166" t="s">
        <v>46</v>
      </c>
      <c r="B73" s="146" t="s">
        <v>10</v>
      </c>
      <c r="C73" s="7" t="s">
        <v>48</v>
      </c>
      <c r="D73" s="133" t="s">
        <v>40</v>
      </c>
      <c r="E73" s="131">
        <f t="shared" ref="E73:E123" si="1">F73+G73</f>
        <v>6609546.6800000006</v>
      </c>
      <c r="F73" s="132"/>
      <c r="G73" s="130">
        <f>7558276.7-1100108.63+70006+44004.61+17065+20303</f>
        <v>6609546.6800000006</v>
      </c>
      <c r="H73" s="82"/>
      <c r="I73" s="82"/>
      <c r="J73" s="82"/>
    </row>
    <row r="74" spans="1:10" ht="25.5">
      <c r="A74" s="166"/>
      <c r="B74" s="146"/>
      <c r="C74" s="7" t="s">
        <v>157</v>
      </c>
      <c r="D74" s="134"/>
      <c r="E74" s="131"/>
      <c r="F74" s="132"/>
      <c r="G74" s="130"/>
      <c r="H74" s="82"/>
      <c r="I74" s="82"/>
      <c r="J74" s="82"/>
    </row>
    <row r="75" spans="1:10">
      <c r="A75" s="166"/>
      <c r="B75" s="146"/>
      <c r="C75" s="7" t="s">
        <v>158</v>
      </c>
      <c r="D75" s="134"/>
      <c r="E75" s="131"/>
      <c r="F75" s="132"/>
      <c r="G75" s="130"/>
      <c r="H75" s="82"/>
      <c r="I75" s="82"/>
      <c r="J75" s="82"/>
    </row>
    <row r="76" spans="1:10">
      <c r="A76" s="166"/>
      <c r="B76" s="146"/>
      <c r="C76" s="7" t="s">
        <v>159</v>
      </c>
      <c r="D76" s="134"/>
      <c r="E76" s="131"/>
      <c r="F76" s="132"/>
      <c r="G76" s="130"/>
      <c r="H76" s="82"/>
      <c r="I76" s="82"/>
      <c r="J76" s="82"/>
    </row>
    <row r="77" spans="1:10" ht="13.5" customHeight="1">
      <c r="A77" s="166"/>
      <c r="B77" s="146"/>
      <c r="C77" s="7" t="s">
        <v>53</v>
      </c>
      <c r="D77" s="134"/>
      <c r="E77" s="131"/>
      <c r="F77" s="132"/>
      <c r="G77" s="130"/>
      <c r="I77" s="82"/>
    </row>
    <row r="78" spans="1:10" ht="13.5" customHeight="1">
      <c r="A78" s="166"/>
      <c r="B78" s="31" t="s">
        <v>121</v>
      </c>
      <c r="C78" s="7" t="s">
        <v>122</v>
      </c>
      <c r="D78" s="134"/>
      <c r="E78" s="15">
        <f t="shared" si="1"/>
        <v>69492.48000000001</v>
      </c>
      <c r="F78" s="30"/>
      <c r="G78" s="90">
        <f>27807.18+41685.3</f>
        <v>69492.48000000001</v>
      </c>
    </row>
    <row r="79" spans="1:10" ht="13.5" customHeight="1">
      <c r="A79" s="166"/>
      <c r="B79" s="147" t="s">
        <v>151</v>
      </c>
      <c r="C79" s="7" t="s">
        <v>131</v>
      </c>
      <c r="D79" s="134"/>
      <c r="E79" s="138">
        <f>G79</f>
        <v>2346844.2800000003</v>
      </c>
      <c r="F79" s="144"/>
      <c r="G79" s="142">
        <f>105000+19650+2000000+91916.74+130277.54</f>
        <v>2346844.2800000003</v>
      </c>
    </row>
    <row r="80" spans="1:10" ht="24" customHeight="1">
      <c r="A80" s="166"/>
      <c r="B80" s="147"/>
      <c r="C80" s="7" t="s">
        <v>177</v>
      </c>
      <c r="D80" s="134"/>
      <c r="E80" s="171"/>
      <c r="F80" s="173"/>
      <c r="G80" s="172"/>
    </row>
    <row r="81" spans="1:9" ht="26.25" customHeight="1">
      <c r="A81" s="166"/>
      <c r="B81" s="147"/>
      <c r="C81" s="7" t="s">
        <v>104</v>
      </c>
      <c r="D81" s="134"/>
      <c r="E81" s="171"/>
      <c r="F81" s="173"/>
      <c r="G81" s="172"/>
    </row>
    <row r="82" spans="1:9" ht="24" customHeight="1">
      <c r="A82" s="166"/>
      <c r="B82" s="147"/>
      <c r="C82" s="7" t="s">
        <v>190</v>
      </c>
      <c r="D82" s="134"/>
      <c r="E82" s="171"/>
      <c r="F82" s="173"/>
      <c r="G82" s="172"/>
    </row>
    <row r="83" spans="1:9" ht="13.5" customHeight="1">
      <c r="A83" s="166"/>
      <c r="B83" s="137"/>
      <c r="C83" s="7" t="s">
        <v>152</v>
      </c>
      <c r="D83" s="134"/>
      <c r="E83" s="139"/>
      <c r="F83" s="145"/>
      <c r="G83" s="143"/>
    </row>
    <row r="84" spans="1:9" ht="13.5" customHeight="1">
      <c r="A84" s="166"/>
      <c r="B84" s="136" t="s">
        <v>98</v>
      </c>
      <c r="C84" s="7" t="s">
        <v>99</v>
      </c>
      <c r="D84" s="134"/>
      <c r="E84" s="138">
        <f t="shared" si="1"/>
        <v>527624.64</v>
      </c>
      <c r="F84" s="144"/>
      <c r="G84" s="174">
        <f>205841.96+321782.68</f>
        <v>527624.64</v>
      </c>
    </row>
    <row r="85" spans="1:9" ht="13.5" customHeight="1">
      <c r="A85" s="166"/>
      <c r="B85" s="137"/>
      <c r="C85" s="7" t="s">
        <v>136</v>
      </c>
      <c r="D85" s="134"/>
      <c r="E85" s="139"/>
      <c r="F85" s="145"/>
      <c r="G85" s="175"/>
    </row>
    <row r="86" spans="1:9" ht="13.5" customHeight="1">
      <c r="A86" s="166"/>
      <c r="B86" s="136" t="s">
        <v>97</v>
      </c>
      <c r="C86" s="7" t="s">
        <v>126</v>
      </c>
      <c r="D86" s="134"/>
      <c r="E86" s="174">
        <f>G86</f>
        <v>3106800</v>
      </c>
      <c r="F86" s="174"/>
      <c r="G86" s="174">
        <f>3745000-2360000+900000+821800</f>
        <v>3106800</v>
      </c>
      <c r="H86" s="82"/>
    </row>
    <row r="87" spans="1:9" ht="13.5" customHeight="1">
      <c r="A87" s="166"/>
      <c r="B87" s="147"/>
      <c r="C87" s="7" t="s">
        <v>169</v>
      </c>
      <c r="D87" s="134"/>
      <c r="E87" s="176"/>
      <c r="F87" s="176"/>
      <c r="G87" s="176"/>
    </row>
    <row r="88" spans="1:9" ht="13.5" customHeight="1">
      <c r="A88" s="166"/>
      <c r="B88" s="137"/>
      <c r="C88" s="7" t="s">
        <v>53</v>
      </c>
      <c r="D88" s="134"/>
      <c r="E88" s="175"/>
      <c r="F88" s="175"/>
      <c r="G88" s="175"/>
    </row>
    <row r="89" spans="1:9" s="3" customFormat="1">
      <c r="A89" s="166"/>
      <c r="B89" s="146" t="s">
        <v>43</v>
      </c>
      <c r="C89" s="7" t="s">
        <v>48</v>
      </c>
      <c r="D89" s="134"/>
      <c r="E89" s="131">
        <f t="shared" si="1"/>
        <v>263463.27</v>
      </c>
      <c r="F89" s="160"/>
      <c r="G89" s="178">
        <f>193463.27+70000</f>
        <v>263463.27</v>
      </c>
      <c r="H89" s="11"/>
      <c r="I89" s="11"/>
    </row>
    <row r="90" spans="1:9" s="3" customFormat="1">
      <c r="A90" s="166"/>
      <c r="B90" s="146"/>
      <c r="C90" s="7" t="s">
        <v>147</v>
      </c>
      <c r="D90" s="134"/>
      <c r="E90" s="131"/>
      <c r="F90" s="160"/>
      <c r="G90" s="178"/>
      <c r="H90" s="11"/>
      <c r="I90" s="11"/>
    </row>
    <row r="91" spans="1:9" s="3" customFormat="1">
      <c r="A91" s="166"/>
      <c r="B91" s="23" t="s">
        <v>44</v>
      </c>
      <c r="C91" s="7" t="s">
        <v>48</v>
      </c>
      <c r="D91" s="134"/>
      <c r="E91" s="15">
        <f t="shared" si="1"/>
        <v>458474</v>
      </c>
      <c r="F91" s="8"/>
      <c r="G91" s="37">
        <v>458474</v>
      </c>
      <c r="H91" s="11"/>
      <c r="I91" s="11"/>
    </row>
    <row r="92" spans="1:9" s="3" customFormat="1">
      <c r="A92" s="166"/>
      <c r="B92" s="77" t="s">
        <v>18</v>
      </c>
      <c r="C92" s="7" t="s">
        <v>153</v>
      </c>
      <c r="D92" s="134"/>
      <c r="E92" s="15">
        <f t="shared" si="1"/>
        <v>108970.63</v>
      </c>
      <c r="F92" s="74"/>
      <c r="G92" s="83">
        <f>75170.23+33800.4</f>
        <v>108970.63</v>
      </c>
      <c r="H92" s="11"/>
      <c r="I92" s="11"/>
    </row>
    <row r="93" spans="1:9" s="3" customFormat="1">
      <c r="A93" s="166"/>
      <c r="B93" s="136" t="s">
        <v>19</v>
      </c>
      <c r="C93" s="7" t="s">
        <v>53</v>
      </c>
      <c r="D93" s="134"/>
      <c r="E93" s="138">
        <f t="shared" si="1"/>
        <v>2919755</v>
      </c>
      <c r="F93" s="118"/>
      <c r="G93" s="140">
        <f>2293300+626455</f>
        <v>2919755</v>
      </c>
      <c r="H93" s="11"/>
      <c r="I93" s="11"/>
    </row>
    <row r="94" spans="1:9" s="3" customFormat="1">
      <c r="A94" s="166"/>
      <c r="B94" s="147"/>
      <c r="C94" s="7" t="s">
        <v>126</v>
      </c>
      <c r="D94" s="134"/>
      <c r="E94" s="171"/>
      <c r="F94" s="121"/>
      <c r="G94" s="177"/>
      <c r="H94" s="11"/>
      <c r="I94" s="11"/>
    </row>
    <row r="95" spans="1:9" s="3" customFormat="1" ht="25.5">
      <c r="A95" s="166"/>
      <c r="B95" s="147"/>
      <c r="C95" s="7" t="s">
        <v>172</v>
      </c>
      <c r="D95" s="134"/>
      <c r="E95" s="171"/>
      <c r="F95" s="121"/>
      <c r="G95" s="177"/>
      <c r="H95" s="11"/>
      <c r="I95" s="11"/>
    </row>
    <row r="96" spans="1:9" s="3" customFormat="1">
      <c r="A96" s="166"/>
      <c r="B96" s="137"/>
      <c r="C96" s="7" t="s">
        <v>160</v>
      </c>
      <c r="D96" s="134"/>
      <c r="E96" s="139"/>
      <c r="F96" s="119"/>
      <c r="G96" s="141"/>
      <c r="H96" s="11"/>
      <c r="I96" s="11"/>
    </row>
    <row r="97" spans="1:10" s="3" customFormat="1" ht="38.25">
      <c r="A97" s="166"/>
      <c r="B97" s="136" t="s">
        <v>124</v>
      </c>
      <c r="C97" s="7" t="s">
        <v>125</v>
      </c>
      <c r="D97" s="134"/>
      <c r="E97" s="138">
        <f t="shared" si="1"/>
        <v>1546471</v>
      </c>
      <c r="F97" s="94"/>
      <c r="G97" s="140">
        <f>1413321+133150</f>
        <v>1546471</v>
      </c>
      <c r="H97" s="11"/>
      <c r="I97" s="11"/>
    </row>
    <row r="98" spans="1:10" s="3" customFormat="1">
      <c r="A98" s="166"/>
      <c r="B98" s="147"/>
      <c r="C98" s="7" t="s">
        <v>161</v>
      </c>
      <c r="D98" s="134"/>
      <c r="E98" s="171"/>
      <c r="F98" s="96"/>
      <c r="G98" s="177"/>
      <c r="H98" s="11"/>
      <c r="I98" s="11"/>
    </row>
    <row r="99" spans="1:10" s="3" customFormat="1" ht="25.5">
      <c r="A99" s="166"/>
      <c r="B99" s="147"/>
      <c r="C99" s="7" t="s">
        <v>192</v>
      </c>
      <c r="D99" s="134"/>
      <c r="E99" s="171"/>
      <c r="F99" s="96"/>
      <c r="G99" s="177"/>
      <c r="H99" s="11"/>
      <c r="I99" s="11"/>
    </row>
    <row r="100" spans="1:10" s="3" customFormat="1">
      <c r="A100" s="166"/>
      <c r="B100" s="137"/>
      <c r="C100" s="7" t="s">
        <v>53</v>
      </c>
      <c r="D100" s="134"/>
      <c r="E100" s="139"/>
      <c r="F100" s="95"/>
      <c r="G100" s="141"/>
      <c r="H100" s="11"/>
      <c r="I100" s="11"/>
    </row>
    <row r="101" spans="1:10" s="3" customFormat="1" ht="76.5">
      <c r="A101" s="166"/>
      <c r="B101" s="136" t="s">
        <v>105</v>
      </c>
      <c r="C101" s="7" t="s">
        <v>149</v>
      </c>
      <c r="D101" s="134"/>
      <c r="E101" s="126">
        <f t="shared" si="1"/>
        <v>13230342.85</v>
      </c>
      <c r="F101" s="128"/>
      <c r="G101" s="124">
        <f>13798000-3027524.8+27000+ 2432867.65</f>
        <v>13230342.85</v>
      </c>
      <c r="H101" s="11"/>
      <c r="I101" s="11"/>
      <c r="J101" s="88"/>
    </row>
    <row r="102" spans="1:10" s="3" customFormat="1">
      <c r="A102" s="166"/>
      <c r="B102" s="137"/>
      <c r="C102" s="7" t="s">
        <v>53</v>
      </c>
      <c r="D102" s="134"/>
      <c r="E102" s="127"/>
      <c r="F102" s="129"/>
      <c r="G102" s="125"/>
      <c r="H102" s="11"/>
      <c r="I102" s="11"/>
      <c r="J102" s="88"/>
    </row>
    <row r="103" spans="1:10" s="3" customFormat="1">
      <c r="A103" s="166"/>
      <c r="B103" s="136" t="s">
        <v>96</v>
      </c>
      <c r="C103" s="7" t="s">
        <v>53</v>
      </c>
      <c r="D103" s="134"/>
      <c r="E103" s="138">
        <f t="shared" si="1"/>
        <v>2497208.41</v>
      </c>
      <c r="F103" s="118"/>
      <c r="G103" s="140">
        <f>112208.41+2385000</f>
        <v>2497208.41</v>
      </c>
      <c r="H103" s="11"/>
      <c r="I103" s="11"/>
      <c r="J103" s="88"/>
    </row>
    <row r="104" spans="1:10" s="3" customFormat="1" ht="25.5">
      <c r="A104" s="166"/>
      <c r="B104" s="137"/>
      <c r="C104" s="7" t="s">
        <v>177</v>
      </c>
      <c r="D104" s="134"/>
      <c r="E104" s="139"/>
      <c r="F104" s="119"/>
      <c r="G104" s="141"/>
      <c r="H104" s="11"/>
      <c r="I104" s="11"/>
      <c r="J104" s="88"/>
    </row>
    <row r="105" spans="1:10" s="3" customFormat="1">
      <c r="A105" s="166"/>
      <c r="B105" s="136" t="s">
        <v>23</v>
      </c>
      <c r="C105" s="7" t="s">
        <v>64</v>
      </c>
      <c r="D105" s="134"/>
      <c r="E105" s="140">
        <f t="shared" ref="E105" si="2">4020000+306000</f>
        <v>4326000</v>
      </c>
      <c r="F105" s="140">
        <v>0</v>
      </c>
      <c r="G105" s="140">
        <f>4020000+306000</f>
        <v>4326000</v>
      </c>
      <c r="H105" s="11"/>
      <c r="I105" s="11"/>
      <c r="J105" s="88"/>
    </row>
    <row r="106" spans="1:10" s="3" customFormat="1" ht="51">
      <c r="A106" s="166"/>
      <c r="B106" s="137"/>
      <c r="C106" s="7" t="s">
        <v>150</v>
      </c>
      <c r="D106" s="134"/>
      <c r="E106" s="141"/>
      <c r="F106" s="141"/>
      <c r="G106" s="141"/>
      <c r="H106" s="11"/>
      <c r="I106" s="11"/>
      <c r="J106" s="88"/>
    </row>
    <row r="107" spans="1:10" s="3" customFormat="1">
      <c r="A107" s="166"/>
      <c r="B107" s="105" t="s">
        <v>171</v>
      </c>
      <c r="C107" s="7" t="str">
        <f>C103</f>
        <v>Замена оконных блоков</v>
      </c>
      <c r="D107" s="134"/>
      <c r="E107" s="106">
        <f>G107</f>
        <v>1554700</v>
      </c>
      <c r="F107" s="106"/>
      <c r="G107" s="106">
        <v>1554700</v>
      </c>
      <c r="H107" s="11"/>
      <c r="I107" s="11"/>
      <c r="J107" s="88"/>
    </row>
    <row r="108" spans="1:10" s="3" customFormat="1">
      <c r="A108" s="166"/>
      <c r="B108" s="105" t="s">
        <v>191</v>
      </c>
      <c r="C108" s="7" t="s">
        <v>53</v>
      </c>
      <c r="D108" s="134"/>
      <c r="E108" s="106">
        <f>G108</f>
        <v>160000</v>
      </c>
      <c r="F108" s="106"/>
      <c r="G108" s="106">
        <v>160000</v>
      </c>
      <c r="H108" s="11"/>
      <c r="I108" s="11"/>
      <c r="J108" s="88"/>
    </row>
    <row r="109" spans="1:10" s="3" customFormat="1">
      <c r="A109" s="166"/>
      <c r="B109" s="136" t="s">
        <v>24</v>
      </c>
      <c r="C109" s="7" t="str">
        <f>C107</f>
        <v>Замена оконных блоков</v>
      </c>
      <c r="D109" s="134"/>
      <c r="E109" s="138">
        <f>G109</f>
        <v>6204497</v>
      </c>
      <c r="F109" s="118"/>
      <c r="G109" s="140">
        <f>3410267+88000+821730+1785000+99500</f>
        <v>6204497</v>
      </c>
      <c r="H109" s="11"/>
      <c r="I109" s="11"/>
      <c r="J109" s="89"/>
    </row>
    <row r="110" spans="1:10" s="3" customFormat="1" ht="50.25" customHeight="1">
      <c r="A110" s="166"/>
      <c r="B110" s="147"/>
      <c r="C110" s="7" t="s">
        <v>163</v>
      </c>
      <c r="D110" s="134"/>
      <c r="E110" s="171"/>
      <c r="F110" s="121"/>
      <c r="G110" s="177"/>
      <c r="H110" s="11"/>
      <c r="I110" s="11"/>
      <c r="J110" s="89"/>
    </row>
    <row r="111" spans="1:10" s="3" customFormat="1" ht="50.25" customHeight="1">
      <c r="A111" s="166"/>
      <c r="B111" s="147"/>
      <c r="C111" s="7" t="s">
        <v>187</v>
      </c>
      <c r="D111" s="134"/>
      <c r="E111" s="171"/>
      <c r="F111" s="121"/>
      <c r="G111" s="177"/>
      <c r="H111" s="11"/>
      <c r="I111" s="11"/>
      <c r="J111" s="89"/>
    </row>
    <row r="112" spans="1:10" s="3" customFormat="1" ht="25.5">
      <c r="A112" s="166"/>
      <c r="B112" s="147"/>
      <c r="C112" s="7" t="s">
        <v>177</v>
      </c>
      <c r="D112" s="134"/>
      <c r="E112" s="171"/>
      <c r="F112" s="121"/>
      <c r="G112" s="177"/>
      <c r="H112" s="11"/>
      <c r="I112" s="11"/>
      <c r="J112" s="89"/>
    </row>
    <row r="113" spans="1:10" s="3" customFormat="1">
      <c r="A113" s="166"/>
      <c r="B113" s="137"/>
      <c r="C113" s="7" t="s">
        <v>162</v>
      </c>
      <c r="D113" s="134"/>
      <c r="E113" s="139"/>
      <c r="F113" s="119"/>
      <c r="G113" s="141"/>
      <c r="H113" s="11"/>
      <c r="I113" s="11"/>
    </row>
    <row r="114" spans="1:10" s="3" customFormat="1">
      <c r="A114" s="166"/>
      <c r="B114" s="136" t="s">
        <v>100</v>
      </c>
      <c r="C114" s="7" t="s">
        <v>53</v>
      </c>
      <c r="D114" s="134"/>
      <c r="E114" s="138">
        <f>G114</f>
        <v>544254.88</v>
      </c>
      <c r="F114" s="118"/>
      <c r="G114" s="140">
        <f>166000+107800+166000+104454.88</f>
        <v>544254.88</v>
      </c>
      <c r="H114" s="11"/>
      <c r="I114" s="11"/>
      <c r="J114" s="89"/>
    </row>
    <row r="115" spans="1:10" s="3" customFormat="1">
      <c r="A115" s="166"/>
      <c r="B115" s="147"/>
      <c r="C115" s="7" t="s">
        <v>101</v>
      </c>
      <c r="D115" s="134"/>
      <c r="E115" s="171"/>
      <c r="F115" s="121"/>
      <c r="G115" s="177"/>
      <c r="H115" s="11"/>
      <c r="I115" s="11"/>
    </row>
    <row r="116" spans="1:10" s="3" customFormat="1">
      <c r="A116" s="166"/>
      <c r="B116" s="147"/>
      <c r="C116" s="7" t="s">
        <v>102</v>
      </c>
      <c r="D116" s="134"/>
      <c r="E116" s="171"/>
      <c r="F116" s="121"/>
      <c r="G116" s="177"/>
      <c r="H116" s="11"/>
      <c r="I116" s="11"/>
    </row>
    <row r="117" spans="1:10" s="3" customFormat="1" ht="25.5">
      <c r="A117" s="166"/>
      <c r="B117" s="137"/>
      <c r="C117" s="7" t="s">
        <v>110</v>
      </c>
      <c r="D117" s="134"/>
      <c r="E117" s="139"/>
      <c r="F117" s="119"/>
      <c r="G117" s="141"/>
      <c r="H117" s="11"/>
      <c r="I117" s="11"/>
    </row>
    <row r="118" spans="1:10" s="3" customFormat="1">
      <c r="A118" s="166"/>
      <c r="B118" s="136" t="s">
        <v>28</v>
      </c>
      <c r="C118" s="7" t="s">
        <v>53</v>
      </c>
      <c r="D118" s="134"/>
      <c r="E118" s="138">
        <f>G118</f>
        <v>895035</v>
      </c>
      <c r="F118" s="118"/>
      <c r="G118" s="138">
        <f>254200+317750+323085</f>
        <v>895035</v>
      </c>
      <c r="H118" s="11"/>
      <c r="I118" s="11"/>
    </row>
    <row r="119" spans="1:10" s="3" customFormat="1">
      <c r="A119" s="166"/>
      <c r="B119" s="137"/>
      <c r="C119" s="7" t="s">
        <v>134</v>
      </c>
      <c r="D119" s="134"/>
      <c r="E119" s="139"/>
      <c r="F119" s="119"/>
      <c r="G119" s="139"/>
      <c r="H119" s="11"/>
      <c r="I119" s="11"/>
    </row>
    <row r="120" spans="1:10" s="3" customFormat="1">
      <c r="A120" s="166"/>
      <c r="B120" s="136" t="s">
        <v>27</v>
      </c>
      <c r="C120" s="7" t="s">
        <v>80</v>
      </c>
      <c r="D120" s="134"/>
      <c r="E120" s="138">
        <f>G120</f>
        <v>4855369.2699999996</v>
      </c>
      <c r="F120" s="138"/>
      <c r="G120" s="138">
        <f>1422288+893776+553467+720838.27+1265000</f>
        <v>4855369.2699999996</v>
      </c>
      <c r="H120" s="11"/>
      <c r="I120" s="11"/>
    </row>
    <row r="121" spans="1:10" s="3" customFormat="1">
      <c r="A121" s="166"/>
      <c r="B121" s="147"/>
      <c r="C121" s="7" t="s">
        <v>111</v>
      </c>
      <c r="D121" s="134"/>
      <c r="E121" s="171"/>
      <c r="F121" s="171"/>
      <c r="G121" s="171"/>
      <c r="H121" s="11"/>
      <c r="I121" s="11"/>
    </row>
    <row r="122" spans="1:10" s="3" customFormat="1" ht="25.5">
      <c r="A122" s="166"/>
      <c r="B122" s="147"/>
      <c r="C122" s="7" t="s">
        <v>196</v>
      </c>
      <c r="D122" s="135"/>
      <c r="E122" s="139"/>
      <c r="F122" s="139"/>
      <c r="G122" s="139"/>
      <c r="H122" s="11"/>
      <c r="I122" s="11"/>
    </row>
    <row r="123" spans="1:10" s="3" customFormat="1" ht="51">
      <c r="A123" s="166"/>
      <c r="B123" s="137"/>
      <c r="C123" s="7" t="s">
        <v>53</v>
      </c>
      <c r="D123" s="24" t="s">
        <v>52</v>
      </c>
      <c r="E123" s="15">
        <f t="shared" si="1"/>
        <v>1074700</v>
      </c>
      <c r="F123" s="8">
        <v>1064700</v>
      </c>
      <c r="G123" s="15">
        <v>10000</v>
      </c>
      <c r="H123" s="11"/>
      <c r="I123" s="11"/>
    </row>
    <row r="124" spans="1:10">
      <c r="A124" s="166"/>
      <c r="B124" s="164" t="s">
        <v>36</v>
      </c>
      <c r="C124" s="164"/>
      <c r="D124" s="164"/>
      <c r="E124" s="15">
        <f>SUM(E73:E123)</f>
        <v>53299549.390000015</v>
      </c>
      <c r="F124" s="15">
        <f>SUM(F73:F123)</f>
        <v>1064700</v>
      </c>
      <c r="G124" s="15">
        <f>SUM(G73:G123)</f>
        <v>52234849.390000015</v>
      </c>
      <c r="H124" s="82"/>
    </row>
    <row r="125" spans="1:10">
      <c r="A125" s="166"/>
      <c r="B125" s="159" t="s">
        <v>42</v>
      </c>
      <c r="C125" s="159"/>
      <c r="D125" s="159"/>
      <c r="E125" s="15">
        <f>G125</f>
        <v>2569492.48</v>
      </c>
      <c r="F125" s="15">
        <f>F78</f>
        <v>0</v>
      </c>
      <c r="G125" s="15">
        <f>G78+2500000</f>
        <v>2569492.48</v>
      </c>
      <c r="H125" s="82"/>
      <c r="I125" s="82"/>
      <c r="J125" s="82"/>
    </row>
    <row r="126" spans="1:10" ht="45" customHeight="1">
      <c r="A126" s="24" t="s">
        <v>106</v>
      </c>
      <c r="B126" s="31" t="s">
        <v>103</v>
      </c>
      <c r="C126" s="7" t="s">
        <v>182</v>
      </c>
      <c r="D126" s="133" t="s">
        <v>40</v>
      </c>
      <c r="E126" s="32">
        <f t="shared" ref="E126:E127" si="3">F126+G126</f>
        <v>720000</v>
      </c>
      <c r="F126" s="33"/>
      <c r="G126" s="34">
        <v>720000</v>
      </c>
      <c r="H126" s="82"/>
    </row>
    <row r="127" spans="1:10" ht="45" customHeight="1">
      <c r="A127" s="102"/>
      <c r="B127" s="31" t="s">
        <v>174</v>
      </c>
      <c r="C127" s="7" t="s">
        <v>175</v>
      </c>
      <c r="D127" s="135"/>
      <c r="E127" s="32">
        <f t="shared" si="3"/>
        <v>1676800</v>
      </c>
      <c r="F127" s="33"/>
      <c r="G127" s="34">
        <v>1676800</v>
      </c>
      <c r="H127" s="82"/>
    </row>
    <row r="128" spans="1:10">
      <c r="A128" s="35"/>
      <c r="B128" s="159" t="s">
        <v>36</v>
      </c>
      <c r="C128" s="159"/>
      <c r="D128" s="159"/>
      <c r="E128" s="15">
        <f>E126+E127</f>
        <v>2396800</v>
      </c>
      <c r="F128" s="15">
        <f>F126+F127</f>
        <v>0</v>
      </c>
      <c r="G128" s="15">
        <f>G126+G127</f>
        <v>2396800</v>
      </c>
    </row>
    <row r="129" spans="1:7">
      <c r="A129" s="35"/>
      <c r="B129" s="159" t="s">
        <v>42</v>
      </c>
      <c r="C129" s="159"/>
      <c r="D129" s="159"/>
      <c r="E129" s="15">
        <v>0</v>
      </c>
      <c r="F129" s="15">
        <f>F125+F72</f>
        <v>0</v>
      </c>
      <c r="G129" s="15">
        <v>0</v>
      </c>
    </row>
    <row r="130" spans="1:7" ht="45" customHeight="1">
      <c r="A130" s="133" t="s">
        <v>127</v>
      </c>
      <c r="B130" s="31" t="s">
        <v>128</v>
      </c>
      <c r="C130" s="7" t="s">
        <v>167</v>
      </c>
      <c r="D130" s="133" t="s">
        <v>40</v>
      </c>
      <c r="E130" s="32">
        <f t="shared" ref="E130" si="4">F130+G130</f>
        <v>4484200</v>
      </c>
      <c r="F130" s="33"/>
      <c r="G130" s="34">
        <f>1948000+200000+388200+1948000</f>
        <v>4484200</v>
      </c>
    </row>
    <row r="131" spans="1:7" ht="13.5" customHeight="1">
      <c r="A131" s="134"/>
      <c r="B131" s="136" t="s">
        <v>165</v>
      </c>
      <c r="C131" s="7" t="s">
        <v>166</v>
      </c>
      <c r="D131" s="134"/>
      <c r="E131" s="138">
        <f>G131</f>
        <v>550000</v>
      </c>
      <c r="F131" s="144"/>
      <c r="G131" s="142">
        <v>550000</v>
      </c>
    </row>
    <row r="132" spans="1:7" ht="25.5">
      <c r="A132" s="135"/>
      <c r="B132" s="137"/>
      <c r="C132" s="7" t="s">
        <v>176</v>
      </c>
      <c r="D132" s="135"/>
      <c r="E132" s="139"/>
      <c r="F132" s="145"/>
      <c r="G132" s="143"/>
    </row>
    <row r="133" spans="1:7">
      <c r="A133" s="35"/>
      <c r="B133" s="159" t="s">
        <v>36</v>
      </c>
      <c r="C133" s="159"/>
      <c r="D133" s="159"/>
      <c r="E133" s="15">
        <f t="shared" ref="E133:F133" si="5">E131+E130</f>
        <v>5034200</v>
      </c>
      <c r="F133" s="15">
        <f t="shared" si="5"/>
        <v>0</v>
      </c>
      <c r="G133" s="15">
        <f>G130+G131</f>
        <v>5034200</v>
      </c>
    </row>
    <row r="134" spans="1:7">
      <c r="A134" s="35"/>
      <c r="B134" s="159" t="s">
        <v>42</v>
      </c>
      <c r="C134" s="159"/>
      <c r="D134" s="159"/>
      <c r="E134" s="15">
        <v>0</v>
      </c>
      <c r="F134" s="15">
        <f>F129+F78</f>
        <v>0</v>
      </c>
      <c r="G134" s="15">
        <v>0</v>
      </c>
    </row>
    <row r="135" spans="1:7">
      <c r="A135" s="35"/>
      <c r="B135" s="159" t="s">
        <v>36</v>
      </c>
      <c r="C135" s="159"/>
      <c r="D135" s="159"/>
      <c r="E135" s="15">
        <f>E128+E124+E71+E133</f>
        <v>90088334.959200025</v>
      </c>
      <c r="F135" s="15">
        <f>F128+F124+F71+F133</f>
        <v>2295000</v>
      </c>
      <c r="G135" s="15">
        <f>G128+G124+G71+G133</f>
        <v>87793334.959200025</v>
      </c>
    </row>
    <row r="136" spans="1:7">
      <c r="A136" s="35"/>
      <c r="B136" s="159" t="s">
        <v>42</v>
      </c>
      <c r="C136" s="159"/>
      <c r="D136" s="159"/>
      <c r="E136" s="15">
        <f>E129+E125+E72</f>
        <v>2776692.48</v>
      </c>
      <c r="F136" s="15">
        <f>F129+F125+F72</f>
        <v>0</v>
      </c>
      <c r="G136" s="15">
        <f>G129+G125+G72</f>
        <v>2776692.48</v>
      </c>
    </row>
  </sheetData>
  <autoFilter ref="A11:G125"/>
  <mergeCells count="164">
    <mergeCell ref="B135:D135"/>
    <mergeCell ref="B136:D136"/>
    <mergeCell ref="B128:D128"/>
    <mergeCell ref="B129:D129"/>
    <mergeCell ref="B133:D133"/>
    <mergeCell ref="B134:D134"/>
    <mergeCell ref="F105:F106"/>
    <mergeCell ref="G89:G90"/>
    <mergeCell ref="E93:E96"/>
    <mergeCell ref="G93:G96"/>
    <mergeCell ref="E89:E90"/>
    <mergeCell ref="F89:F90"/>
    <mergeCell ref="G118:G119"/>
    <mergeCell ref="E118:E119"/>
    <mergeCell ref="F118:F119"/>
    <mergeCell ref="B109:B113"/>
    <mergeCell ref="G109:G113"/>
    <mergeCell ref="E109:E113"/>
    <mergeCell ref="F109:F113"/>
    <mergeCell ref="F114:F117"/>
    <mergeCell ref="G114:G117"/>
    <mergeCell ref="E114:E117"/>
    <mergeCell ref="B114:B117"/>
    <mergeCell ref="D73:D122"/>
    <mergeCell ref="G120:G122"/>
    <mergeCell ref="E120:E122"/>
    <mergeCell ref="F120:F122"/>
    <mergeCell ref="F93:F96"/>
    <mergeCell ref="B79:B83"/>
    <mergeCell ref="G79:G83"/>
    <mergeCell ref="E79:E83"/>
    <mergeCell ref="F79:F83"/>
    <mergeCell ref="G84:G85"/>
    <mergeCell ref="E84:E85"/>
    <mergeCell ref="F84:F85"/>
    <mergeCell ref="G86:G88"/>
    <mergeCell ref="F86:F88"/>
    <mergeCell ref="G97:G100"/>
    <mergeCell ref="E97:E100"/>
    <mergeCell ref="G105:G106"/>
    <mergeCell ref="E86:E88"/>
    <mergeCell ref="E105:E106"/>
    <mergeCell ref="A10:A11"/>
    <mergeCell ref="B10:B11"/>
    <mergeCell ref="C10:C11"/>
    <mergeCell ref="D10:D11"/>
    <mergeCell ref="E10:E11"/>
    <mergeCell ref="E23:E24"/>
    <mergeCell ref="F23:F24"/>
    <mergeCell ref="B28:B30"/>
    <mergeCell ref="E28:E30"/>
    <mergeCell ref="F28:F30"/>
    <mergeCell ref="B23:B24"/>
    <mergeCell ref="D1:G7"/>
    <mergeCell ref="B125:D125"/>
    <mergeCell ref="F10:G10"/>
    <mergeCell ref="B71:D71"/>
    <mergeCell ref="B124:D124"/>
    <mergeCell ref="G23:G24"/>
    <mergeCell ref="G28:G30"/>
    <mergeCell ref="G40:G41"/>
    <mergeCell ref="E40:E41"/>
    <mergeCell ref="F40:F41"/>
    <mergeCell ref="B46:B47"/>
    <mergeCell ref="G46:G47"/>
    <mergeCell ref="A8:F8"/>
    <mergeCell ref="B72:D72"/>
    <mergeCell ref="A73:A125"/>
    <mergeCell ref="A12:A72"/>
    <mergeCell ref="B20:B22"/>
    <mergeCell ref="B14:B17"/>
    <mergeCell ref="B50:B53"/>
    <mergeCell ref="B37:B38"/>
    <mergeCell ref="B40:B41"/>
    <mergeCell ref="B44:B45"/>
    <mergeCell ref="B61:B62"/>
    <mergeCell ref="B67:B69"/>
    <mergeCell ref="G12:G13"/>
    <mergeCell ref="E12:E13"/>
    <mergeCell ref="F12:F13"/>
    <mergeCell ref="B35:B36"/>
    <mergeCell ref="D126:D127"/>
    <mergeCell ref="G14:G17"/>
    <mergeCell ref="F14:F17"/>
    <mergeCell ref="E14:E17"/>
    <mergeCell ref="D12:D69"/>
    <mergeCell ref="B33:B34"/>
    <mergeCell ref="G33:G34"/>
    <mergeCell ref="E33:E34"/>
    <mergeCell ref="B12:B13"/>
    <mergeCell ref="B63:B64"/>
    <mergeCell ref="F46:F47"/>
    <mergeCell ref="E46:E47"/>
    <mergeCell ref="G37:G38"/>
    <mergeCell ref="E37:E38"/>
    <mergeCell ref="F37:F38"/>
    <mergeCell ref="B118:B119"/>
    <mergeCell ref="B120:B123"/>
    <mergeCell ref="B105:B106"/>
    <mergeCell ref="B89:B90"/>
    <mergeCell ref="B86:B88"/>
    <mergeCell ref="A130:A132"/>
    <mergeCell ref="B26:B27"/>
    <mergeCell ref="B103:B104"/>
    <mergeCell ref="E103:E104"/>
    <mergeCell ref="G103:G104"/>
    <mergeCell ref="F103:F104"/>
    <mergeCell ref="G42:G43"/>
    <mergeCell ref="E42:E43"/>
    <mergeCell ref="F42:F43"/>
    <mergeCell ref="B42:B43"/>
    <mergeCell ref="B31:B32"/>
    <mergeCell ref="G31:G32"/>
    <mergeCell ref="F31:F32"/>
    <mergeCell ref="E31:E32"/>
    <mergeCell ref="G131:G132"/>
    <mergeCell ref="E131:E132"/>
    <mergeCell ref="F131:F132"/>
    <mergeCell ref="D130:D132"/>
    <mergeCell ref="B131:B132"/>
    <mergeCell ref="B101:B102"/>
    <mergeCell ref="B84:B85"/>
    <mergeCell ref="B73:B77"/>
    <mergeCell ref="B97:B100"/>
    <mergeCell ref="B93:B96"/>
    <mergeCell ref="B56:B57"/>
    <mergeCell ref="G56:G57"/>
    <mergeCell ref="E56:E57"/>
    <mergeCell ref="F56:F57"/>
    <mergeCell ref="E63:E64"/>
    <mergeCell ref="G63:G64"/>
    <mergeCell ref="F63:F64"/>
    <mergeCell ref="G101:G102"/>
    <mergeCell ref="E101:E102"/>
    <mergeCell ref="F101:F102"/>
    <mergeCell ref="G67:G69"/>
    <mergeCell ref="E67:E69"/>
    <mergeCell ref="F67:F69"/>
    <mergeCell ref="B58:B59"/>
    <mergeCell ref="G58:G59"/>
    <mergeCell ref="E58:E59"/>
    <mergeCell ref="F58:F59"/>
    <mergeCell ref="G73:G77"/>
    <mergeCell ref="E73:E77"/>
    <mergeCell ref="F73:F77"/>
    <mergeCell ref="G26:G27"/>
    <mergeCell ref="E26:E27"/>
    <mergeCell ref="F26:F27"/>
    <mergeCell ref="G20:G22"/>
    <mergeCell ref="E20:E22"/>
    <mergeCell ref="F20:F22"/>
    <mergeCell ref="G61:G62"/>
    <mergeCell ref="E61:E62"/>
    <mergeCell ref="F61:F62"/>
    <mergeCell ref="F33:F34"/>
    <mergeCell ref="G50:G53"/>
    <mergeCell ref="E50:E53"/>
    <mergeCell ref="F50:F53"/>
    <mergeCell ref="G44:G45"/>
    <mergeCell ref="E44:E45"/>
    <mergeCell ref="F44:F45"/>
    <mergeCell ref="G35:G36"/>
    <mergeCell ref="E35:E36"/>
    <mergeCell ref="F35:F36"/>
  </mergeCells>
  <phoneticPr fontId="6" type="noConversion"/>
  <pageMargins left="0.31496062992125984" right="0.31496062992125984" top="0.39370078740157483" bottom="0.39370078740157483" header="0.31496062992125984" footer="0.31496062992125984"/>
  <pageSetup paperSize="9" scale="6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G88"/>
  <sheetViews>
    <sheetView zoomScale="160" zoomScaleNormal="160" workbookViewId="0">
      <selection activeCell="C6" sqref="C6"/>
    </sheetView>
  </sheetViews>
  <sheetFormatPr defaultColWidth="9.140625" defaultRowHeight="12.75"/>
  <cols>
    <col min="1" max="1" width="26.7109375" style="1" customWidth="1"/>
    <col min="2" max="2" width="33.42578125" style="2" customWidth="1"/>
    <col min="3" max="3" width="20.28515625" style="3" customWidth="1"/>
    <col min="4" max="4" width="14.85546875" style="14" customWidth="1"/>
    <col min="5" max="5" width="16" style="3" customWidth="1"/>
    <col min="6" max="6" width="16.28515625" style="39" customWidth="1"/>
    <col min="7" max="7" width="13.85546875" style="3" bestFit="1" customWidth="1"/>
    <col min="8" max="16384" width="9.140625" style="3"/>
  </cols>
  <sheetData>
    <row r="1" spans="1:6" customFormat="1" ht="12.75" customHeight="1">
      <c r="A1" s="44"/>
      <c r="B1" s="45"/>
      <c r="C1" s="46"/>
      <c r="D1" s="158" t="s">
        <v>201</v>
      </c>
      <c r="E1" s="158"/>
      <c r="F1" s="158"/>
    </row>
    <row r="2" spans="1:6" customFormat="1" ht="12.75" customHeight="1">
      <c r="A2" s="44"/>
      <c r="B2" s="45"/>
      <c r="C2" s="46"/>
      <c r="D2" s="158"/>
      <c r="E2" s="158"/>
      <c r="F2" s="158"/>
    </row>
    <row r="3" spans="1:6" customFormat="1" ht="12.75" customHeight="1">
      <c r="A3" s="44"/>
      <c r="B3" s="45"/>
      <c r="C3" s="46"/>
      <c r="D3" s="158"/>
      <c r="E3" s="158"/>
      <c r="F3" s="158"/>
    </row>
    <row r="4" spans="1:6" customFormat="1" ht="12.75" customHeight="1">
      <c r="A4" s="44"/>
      <c r="B4" s="45"/>
      <c r="C4" s="46"/>
      <c r="D4" s="158"/>
      <c r="E4" s="158"/>
      <c r="F4" s="158"/>
    </row>
    <row r="5" spans="1:6" customFormat="1" ht="21" customHeight="1">
      <c r="A5" s="44"/>
      <c r="B5" s="45"/>
      <c r="C5" s="46"/>
      <c r="D5" s="158"/>
      <c r="E5" s="158"/>
      <c r="F5" s="158"/>
    </row>
    <row r="6" spans="1:6" customFormat="1" ht="52.5" customHeight="1">
      <c r="A6" s="44"/>
      <c r="B6" s="45"/>
      <c r="C6" s="46"/>
      <c r="D6" s="158"/>
      <c r="E6" s="158"/>
      <c r="F6" s="158"/>
    </row>
    <row r="7" spans="1:6" customFormat="1" ht="39.75" customHeight="1">
      <c r="A7" s="190" t="s">
        <v>200</v>
      </c>
      <c r="B7" s="190"/>
      <c r="C7" s="190"/>
      <c r="D7" s="190"/>
      <c r="E7" s="190"/>
      <c r="F7" s="190"/>
    </row>
    <row r="8" spans="1:6" ht="12.75" customHeight="1">
      <c r="A8" s="47"/>
      <c r="B8" s="48"/>
      <c r="C8" s="49"/>
      <c r="D8" s="158"/>
      <c r="E8" s="158"/>
      <c r="F8" s="158"/>
    </row>
    <row r="9" spans="1:6" ht="12" customHeight="1">
      <c r="A9" s="47"/>
      <c r="B9" s="50"/>
      <c r="C9" s="51"/>
      <c r="D9" s="40"/>
      <c r="E9" s="51"/>
      <c r="F9" s="36" t="s">
        <v>199</v>
      </c>
    </row>
    <row r="10" spans="1:6">
      <c r="A10" s="186" t="s">
        <v>0</v>
      </c>
      <c r="B10" s="183" t="s">
        <v>1</v>
      </c>
      <c r="C10" s="186" t="s">
        <v>2</v>
      </c>
      <c r="D10" s="187" t="s">
        <v>3</v>
      </c>
      <c r="E10" s="186" t="s">
        <v>4</v>
      </c>
      <c r="F10" s="186"/>
    </row>
    <row r="11" spans="1:6" ht="38.25">
      <c r="A11" s="186"/>
      <c r="B11" s="183"/>
      <c r="C11" s="186"/>
      <c r="D11" s="188"/>
      <c r="E11" s="52" t="s">
        <v>5</v>
      </c>
      <c r="F11" s="115" t="s">
        <v>6</v>
      </c>
    </row>
    <row r="12" spans="1:6" ht="25.5">
      <c r="A12" s="53" t="s">
        <v>55</v>
      </c>
      <c r="B12" s="53" t="s">
        <v>54</v>
      </c>
      <c r="C12" s="196"/>
      <c r="D12" s="41">
        <f>F12</f>
        <v>300000</v>
      </c>
      <c r="E12" s="42">
        <v>0</v>
      </c>
      <c r="F12" s="41">
        <v>300000</v>
      </c>
    </row>
    <row r="13" spans="1:6" ht="25.5">
      <c r="A13" s="69" t="s">
        <v>133</v>
      </c>
      <c r="B13" s="69" t="s">
        <v>95</v>
      </c>
      <c r="C13" s="197"/>
      <c r="D13" s="70">
        <f>F13</f>
        <v>182600</v>
      </c>
      <c r="E13" s="71">
        <v>0</v>
      </c>
      <c r="F13" s="70">
        <v>182600</v>
      </c>
    </row>
    <row r="14" spans="1:6" ht="25.5">
      <c r="A14" s="53" t="s">
        <v>112</v>
      </c>
      <c r="B14" s="53" t="s">
        <v>54</v>
      </c>
      <c r="C14" s="197"/>
      <c r="D14" s="41">
        <f>F14</f>
        <v>335000</v>
      </c>
      <c r="E14" s="42">
        <v>0</v>
      </c>
      <c r="F14" s="41">
        <v>335000</v>
      </c>
    </row>
    <row r="15" spans="1:6" ht="25.5" customHeight="1">
      <c r="A15" s="183" t="s">
        <v>93</v>
      </c>
      <c r="B15" s="53" t="s">
        <v>94</v>
      </c>
      <c r="C15" s="197"/>
      <c r="D15" s="194">
        <v>75500</v>
      </c>
      <c r="E15" s="195">
        <v>0</v>
      </c>
      <c r="F15" s="194">
        <v>75500</v>
      </c>
    </row>
    <row r="16" spans="1:6">
      <c r="A16" s="183"/>
      <c r="B16" s="53" t="s">
        <v>95</v>
      </c>
      <c r="C16" s="197"/>
      <c r="D16" s="194"/>
      <c r="E16" s="195"/>
      <c r="F16" s="194"/>
    </row>
    <row r="17" spans="1:6" ht="25.5">
      <c r="A17" s="53" t="s">
        <v>66</v>
      </c>
      <c r="B17" s="53" t="s">
        <v>67</v>
      </c>
      <c r="C17" s="197"/>
      <c r="D17" s="41">
        <f t="shared" ref="D17:D29" si="0">F17</f>
        <v>110000</v>
      </c>
      <c r="E17" s="42">
        <v>0</v>
      </c>
      <c r="F17" s="41">
        <v>110000</v>
      </c>
    </row>
    <row r="18" spans="1:6" ht="16.5" customHeight="1">
      <c r="A18" s="204" t="s">
        <v>118</v>
      </c>
      <c r="B18" s="53" t="s">
        <v>95</v>
      </c>
      <c r="C18" s="197"/>
      <c r="D18" s="41">
        <f t="shared" si="0"/>
        <v>71500</v>
      </c>
      <c r="E18" s="42">
        <v>0</v>
      </c>
      <c r="F18" s="41">
        <v>71500</v>
      </c>
    </row>
    <row r="19" spans="1:6">
      <c r="A19" s="205"/>
      <c r="B19" s="60" t="s">
        <v>129</v>
      </c>
      <c r="C19" s="197"/>
      <c r="D19" s="61">
        <f t="shared" si="0"/>
        <v>440000</v>
      </c>
      <c r="E19" s="62"/>
      <c r="F19" s="61">
        <v>440000</v>
      </c>
    </row>
    <row r="20" spans="1:6" ht="15.75" customHeight="1">
      <c r="A20" s="203" t="s">
        <v>61</v>
      </c>
      <c r="B20" s="53" t="s">
        <v>54</v>
      </c>
      <c r="C20" s="197"/>
      <c r="D20" s="41">
        <f t="shared" si="0"/>
        <v>350000</v>
      </c>
      <c r="E20" s="42">
        <v>0</v>
      </c>
      <c r="F20" s="41">
        <v>350000</v>
      </c>
    </row>
    <row r="21" spans="1:6" ht="25.5">
      <c r="A21" s="203"/>
      <c r="B21" s="53" t="s">
        <v>114</v>
      </c>
      <c r="C21" s="197"/>
      <c r="D21" s="41">
        <f t="shared" si="0"/>
        <v>128180.59</v>
      </c>
      <c r="E21" s="42">
        <v>0</v>
      </c>
      <c r="F21" s="41">
        <v>128180.59</v>
      </c>
    </row>
    <row r="22" spans="1:6" ht="25.5">
      <c r="A22" s="53" t="s">
        <v>62</v>
      </c>
      <c r="B22" s="53" t="s">
        <v>54</v>
      </c>
      <c r="C22" s="197"/>
      <c r="D22" s="41">
        <f t="shared" si="0"/>
        <v>350000</v>
      </c>
      <c r="E22" s="42">
        <v>0</v>
      </c>
      <c r="F22" s="41">
        <v>350000</v>
      </c>
    </row>
    <row r="23" spans="1:6">
      <c r="A23" s="53" t="s">
        <v>83</v>
      </c>
      <c r="B23" s="53" t="s">
        <v>95</v>
      </c>
      <c r="C23" s="197"/>
      <c r="D23" s="41">
        <f t="shared" si="0"/>
        <v>154800</v>
      </c>
      <c r="E23" s="42">
        <v>0</v>
      </c>
      <c r="F23" s="41">
        <v>154800</v>
      </c>
    </row>
    <row r="24" spans="1:6">
      <c r="A24" s="53" t="s">
        <v>89</v>
      </c>
      <c r="B24" s="53" t="s">
        <v>54</v>
      </c>
      <c r="C24" s="197"/>
      <c r="D24" s="41">
        <f t="shared" si="0"/>
        <v>680000</v>
      </c>
      <c r="E24" s="42">
        <v>0</v>
      </c>
      <c r="F24" s="41">
        <v>680000</v>
      </c>
    </row>
    <row r="25" spans="1:6">
      <c r="A25" s="53" t="s">
        <v>59</v>
      </c>
      <c r="B25" s="53" t="s">
        <v>54</v>
      </c>
      <c r="C25" s="197"/>
      <c r="D25" s="41">
        <f t="shared" si="0"/>
        <v>558000</v>
      </c>
      <c r="E25" s="42">
        <v>0</v>
      </c>
      <c r="F25" s="41">
        <v>558000</v>
      </c>
    </row>
    <row r="26" spans="1:6">
      <c r="A26" s="204" t="s">
        <v>107</v>
      </c>
      <c r="B26" s="53" t="s">
        <v>54</v>
      </c>
      <c r="C26" s="197"/>
      <c r="D26" s="41">
        <f t="shared" si="0"/>
        <v>380000</v>
      </c>
      <c r="E26" s="42">
        <v>0</v>
      </c>
      <c r="F26" s="41">
        <v>380000</v>
      </c>
    </row>
    <row r="27" spans="1:6" ht="25.5">
      <c r="A27" s="205"/>
      <c r="B27" s="78" t="s">
        <v>195</v>
      </c>
      <c r="C27" s="197"/>
      <c r="D27" s="8">
        <f t="shared" si="0"/>
        <v>250000</v>
      </c>
      <c r="E27" s="113">
        <v>0</v>
      </c>
      <c r="F27" s="8">
        <v>250000</v>
      </c>
    </row>
    <row r="28" spans="1:6" ht="25.5">
      <c r="A28" s="53" t="s">
        <v>116</v>
      </c>
      <c r="B28" s="53" t="s">
        <v>117</v>
      </c>
      <c r="C28" s="197"/>
      <c r="D28" s="41">
        <f t="shared" si="0"/>
        <v>37100</v>
      </c>
      <c r="E28" s="71">
        <v>0</v>
      </c>
      <c r="F28" s="41">
        <v>37100</v>
      </c>
    </row>
    <row r="29" spans="1:6">
      <c r="A29" s="60" t="s">
        <v>130</v>
      </c>
      <c r="B29" s="60" t="s">
        <v>120</v>
      </c>
      <c r="C29" s="197"/>
      <c r="D29" s="61">
        <f t="shared" si="0"/>
        <v>49750</v>
      </c>
      <c r="E29" s="71">
        <v>0</v>
      </c>
      <c r="F29" s="61">
        <v>49750</v>
      </c>
    </row>
    <row r="30" spans="1:6" ht="25.5">
      <c r="A30" s="189" t="s">
        <v>7</v>
      </c>
      <c r="B30" s="54" t="s">
        <v>8</v>
      </c>
      <c r="C30" s="197"/>
      <c r="D30" s="37">
        <f t="shared" ref="D30:D33" si="1">E30+F30</f>
        <v>878460</v>
      </c>
      <c r="E30" s="71">
        <v>0</v>
      </c>
      <c r="F30" s="37">
        <v>878460</v>
      </c>
    </row>
    <row r="31" spans="1:6">
      <c r="A31" s="189"/>
      <c r="B31" s="54" t="s">
        <v>54</v>
      </c>
      <c r="C31" s="197"/>
      <c r="D31" s="37">
        <f t="shared" si="1"/>
        <v>350000</v>
      </c>
      <c r="E31" s="71">
        <v>0</v>
      </c>
      <c r="F31" s="37">
        <v>350000</v>
      </c>
    </row>
    <row r="32" spans="1:6">
      <c r="A32" s="53" t="s">
        <v>109</v>
      </c>
      <c r="B32" s="53" t="s">
        <v>120</v>
      </c>
      <c r="C32" s="197"/>
      <c r="D32" s="37">
        <f t="shared" si="1"/>
        <v>200000</v>
      </c>
      <c r="E32" s="113">
        <v>0</v>
      </c>
      <c r="F32" s="15">
        <v>200000</v>
      </c>
    </row>
    <row r="33" spans="1:6" ht="25.5">
      <c r="A33" s="107" t="s">
        <v>194</v>
      </c>
      <c r="B33" s="107" t="s">
        <v>197</v>
      </c>
      <c r="C33" s="197"/>
      <c r="D33" s="37">
        <f t="shared" si="1"/>
        <v>250000</v>
      </c>
      <c r="E33" s="113">
        <v>0</v>
      </c>
      <c r="F33" s="15">
        <v>250000</v>
      </c>
    </row>
    <row r="34" spans="1:6" ht="25.5">
      <c r="A34" s="202" t="s">
        <v>60</v>
      </c>
      <c r="B34" s="54" t="s">
        <v>8</v>
      </c>
      <c r="C34" s="197"/>
      <c r="D34" s="37">
        <f t="shared" ref="D34:D37" si="2">E34+F34</f>
        <v>656434.30000000005</v>
      </c>
      <c r="E34" s="71">
        <v>0</v>
      </c>
      <c r="F34" s="37">
        <v>656434.30000000005</v>
      </c>
    </row>
    <row r="35" spans="1:6" ht="25.5">
      <c r="A35" s="202"/>
      <c r="B35" s="54" t="s">
        <v>115</v>
      </c>
      <c r="C35" s="197"/>
      <c r="D35" s="37">
        <f t="shared" si="2"/>
        <v>165000</v>
      </c>
      <c r="E35" s="71">
        <v>0</v>
      </c>
      <c r="F35" s="37">
        <v>165000</v>
      </c>
    </row>
    <row r="36" spans="1:6">
      <c r="A36" s="68" t="s">
        <v>138</v>
      </c>
      <c r="B36" s="72" t="s">
        <v>54</v>
      </c>
      <c r="C36" s="197"/>
      <c r="D36" s="37">
        <f t="shared" ref="D36" si="3">E36+F36</f>
        <v>150000</v>
      </c>
      <c r="E36" s="71">
        <v>0</v>
      </c>
      <c r="F36" s="37">
        <v>150000</v>
      </c>
    </row>
    <row r="37" spans="1:6" ht="38.25">
      <c r="A37" s="72" t="s">
        <v>137</v>
      </c>
      <c r="B37" s="72" t="s">
        <v>115</v>
      </c>
      <c r="C37" s="197"/>
      <c r="D37" s="37">
        <f t="shared" si="2"/>
        <v>139400</v>
      </c>
      <c r="E37" s="71">
        <v>0</v>
      </c>
      <c r="F37" s="37">
        <v>139400</v>
      </c>
    </row>
    <row r="38" spans="1:6" ht="38.25">
      <c r="A38" s="54" t="s">
        <v>9</v>
      </c>
      <c r="B38" s="54" t="s">
        <v>8</v>
      </c>
      <c r="C38" s="197"/>
      <c r="D38" s="37">
        <f t="shared" ref="D38:D75" si="4">F38</f>
        <v>914760</v>
      </c>
      <c r="E38" s="71">
        <v>0</v>
      </c>
      <c r="F38" s="37">
        <v>914760</v>
      </c>
    </row>
    <row r="39" spans="1:6" ht="25.5">
      <c r="A39" s="54" t="s">
        <v>10</v>
      </c>
      <c r="B39" s="54" t="s">
        <v>8</v>
      </c>
      <c r="C39" s="197"/>
      <c r="D39" s="37">
        <f t="shared" si="4"/>
        <v>2368800</v>
      </c>
      <c r="E39" s="71">
        <v>0</v>
      </c>
      <c r="F39" s="37">
        <v>2368800</v>
      </c>
    </row>
    <row r="40" spans="1:6">
      <c r="A40" s="54" t="s">
        <v>11</v>
      </c>
      <c r="B40" s="54" t="s">
        <v>123</v>
      </c>
      <c r="C40" s="197"/>
      <c r="D40" s="37">
        <f t="shared" si="4"/>
        <v>34255.14</v>
      </c>
      <c r="E40" s="71">
        <v>0</v>
      </c>
      <c r="F40" s="37">
        <f>8371.53+25883.61</f>
        <v>34255.14</v>
      </c>
    </row>
    <row r="41" spans="1:6" ht="25.5">
      <c r="A41" s="54" t="s">
        <v>12</v>
      </c>
      <c r="B41" s="54" t="s">
        <v>8</v>
      </c>
      <c r="C41" s="197"/>
      <c r="D41" s="37">
        <f t="shared" si="4"/>
        <v>753444.5</v>
      </c>
      <c r="E41" s="42">
        <v>0</v>
      </c>
      <c r="F41" s="37">
        <v>753444.5</v>
      </c>
    </row>
    <row r="42" spans="1:6" ht="25.5">
      <c r="A42" s="54" t="s">
        <v>13</v>
      </c>
      <c r="B42" s="54" t="s">
        <v>8</v>
      </c>
      <c r="C42" s="197"/>
      <c r="D42" s="37">
        <f t="shared" si="4"/>
        <v>755280.9</v>
      </c>
      <c r="E42" s="42">
        <v>0</v>
      </c>
      <c r="F42" s="37">
        <v>755280.9</v>
      </c>
    </row>
    <row r="43" spans="1:6" ht="25.5">
      <c r="A43" s="202" t="s">
        <v>14</v>
      </c>
      <c r="B43" s="54" t="s">
        <v>8</v>
      </c>
      <c r="C43" s="197"/>
      <c r="D43" s="37">
        <f t="shared" si="4"/>
        <v>1850800</v>
      </c>
      <c r="E43" s="42">
        <v>0</v>
      </c>
      <c r="F43" s="37">
        <v>1850800</v>
      </c>
    </row>
    <row r="44" spans="1:6" ht="25.5">
      <c r="A44" s="202"/>
      <c r="B44" s="72" t="s">
        <v>140</v>
      </c>
      <c r="C44" s="197"/>
      <c r="D44" s="37">
        <f t="shared" si="4"/>
        <v>443826.24</v>
      </c>
      <c r="E44" s="71">
        <v>0</v>
      </c>
      <c r="F44" s="37">
        <v>443826.24</v>
      </c>
    </row>
    <row r="45" spans="1:6">
      <c r="A45" s="202"/>
      <c r="B45" s="54" t="s">
        <v>119</v>
      </c>
      <c r="C45" s="197"/>
      <c r="D45" s="37">
        <f t="shared" si="4"/>
        <v>231992.52</v>
      </c>
      <c r="E45" s="42">
        <v>0</v>
      </c>
      <c r="F45" s="37">
        <v>231992.52</v>
      </c>
    </row>
    <row r="46" spans="1:6" ht="25.5">
      <c r="A46" s="54" t="s">
        <v>15</v>
      </c>
      <c r="B46" s="54" t="s">
        <v>8</v>
      </c>
      <c r="C46" s="197"/>
      <c r="D46" s="37">
        <f t="shared" si="4"/>
        <v>603900</v>
      </c>
      <c r="E46" s="42">
        <v>0</v>
      </c>
      <c r="F46" s="37">
        <v>603900</v>
      </c>
    </row>
    <row r="47" spans="1:6" ht="25.5">
      <c r="A47" s="54" t="s">
        <v>16</v>
      </c>
      <c r="B47" s="54" t="s">
        <v>8</v>
      </c>
      <c r="C47" s="197"/>
      <c r="D47" s="37">
        <f t="shared" si="4"/>
        <v>667280</v>
      </c>
      <c r="E47" s="42">
        <v>0</v>
      </c>
      <c r="F47" s="37">
        <v>667280</v>
      </c>
    </row>
    <row r="48" spans="1:6" ht="25.5">
      <c r="A48" s="54" t="s">
        <v>17</v>
      </c>
      <c r="B48" s="54" t="s">
        <v>8</v>
      </c>
      <c r="C48" s="197"/>
      <c r="D48" s="37">
        <f t="shared" si="4"/>
        <v>600000</v>
      </c>
      <c r="E48" s="42">
        <v>0</v>
      </c>
      <c r="F48" s="37">
        <v>600000</v>
      </c>
    </row>
    <row r="49" spans="1:6">
      <c r="A49" s="80" t="s">
        <v>18</v>
      </c>
      <c r="B49" s="80" t="s">
        <v>54</v>
      </c>
      <c r="C49" s="197"/>
      <c r="D49" s="37">
        <f t="shared" si="4"/>
        <v>1575152.8</v>
      </c>
      <c r="E49" s="81"/>
      <c r="F49" s="37">
        <v>1575152.8</v>
      </c>
    </row>
    <row r="50" spans="1:6" ht="25.5">
      <c r="A50" s="202" t="s">
        <v>19</v>
      </c>
      <c r="B50" s="54" t="s">
        <v>8</v>
      </c>
      <c r="C50" s="197"/>
      <c r="D50" s="37">
        <f t="shared" si="4"/>
        <v>1257600</v>
      </c>
      <c r="E50" s="42">
        <v>0</v>
      </c>
      <c r="F50" s="37">
        <v>1257600</v>
      </c>
    </row>
    <row r="51" spans="1:6" ht="38.25">
      <c r="A51" s="202"/>
      <c r="B51" s="54" t="s">
        <v>113</v>
      </c>
      <c r="C51" s="197"/>
      <c r="D51" s="37">
        <f t="shared" si="4"/>
        <v>183968.26</v>
      </c>
      <c r="E51" s="42">
        <v>0</v>
      </c>
      <c r="F51" s="37">
        <v>183968.26</v>
      </c>
    </row>
    <row r="52" spans="1:6">
      <c r="A52" s="202"/>
      <c r="B52" s="54" t="s">
        <v>54</v>
      </c>
      <c r="C52" s="197"/>
      <c r="D52" s="37">
        <f t="shared" si="4"/>
        <v>560611.4</v>
      </c>
      <c r="E52" s="42">
        <v>0</v>
      </c>
      <c r="F52" s="37">
        <v>560611.4</v>
      </c>
    </row>
    <row r="53" spans="1:6" ht="25.5">
      <c r="A53" s="191" t="s">
        <v>20</v>
      </c>
      <c r="B53" s="54" t="s">
        <v>8</v>
      </c>
      <c r="C53" s="197"/>
      <c r="D53" s="37">
        <f t="shared" si="4"/>
        <v>1578706</v>
      </c>
      <c r="E53" s="42">
        <v>0</v>
      </c>
      <c r="F53" s="37">
        <v>1578706</v>
      </c>
    </row>
    <row r="54" spans="1:6">
      <c r="A54" s="192"/>
      <c r="B54" s="108" t="s">
        <v>193</v>
      </c>
      <c r="C54" s="197"/>
      <c r="D54" s="37">
        <f t="shared" si="4"/>
        <v>300000</v>
      </c>
      <c r="E54" s="109">
        <v>0</v>
      </c>
      <c r="F54" s="37">
        <v>300000</v>
      </c>
    </row>
    <row r="55" spans="1:6">
      <c r="A55" s="193"/>
      <c r="B55" s="92" t="s">
        <v>156</v>
      </c>
      <c r="C55" s="197"/>
      <c r="D55" s="37">
        <f t="shared" si="4"/>
        <v>158000</v>
      </c>
      <c r="E55" s="109">
        <v>0</v>
      </c>
      <c r="F55" s="37">
        <v>158000</v>
      </c>
    </row>
    <row r="56" spans="1:6" ht="25.5">
      <c r="A56" s="189" t="s">
        <v>21</v>
      </c>
      <c r="B56" s="54" t="s">
        <v>8</v>
      </c>
      <c r="C56" s="197"/>
      <c r="D56" s="37">
        <f t="shared" si="4"/>
        <v>671680</v>
      </c>
      <c r="E56" s="42">
        <v>0</v>
      </c>
      <c r="F56" s="37">
        <v>671680</v>
      </c>
    </row>
    <row r="57" spans="1:6">
      <c r="A57" s="189"/>
      <c r="B57" s="54" t="s">
        <v>63</v>
      </c>
      <c r="C57" s="197"/>
      <c r="D57" s="37">
        <f t="shared" si="4"/>
        <v>180178</v>
      </c>
      <c r="E57" s="42">
        <v>0</v>
      </c>
      <c r="F57" s="37">
        <v>180178</v>
      </c>
    </row>
    <row r="58" spans="1:6" ht="25.5">
      <c r="A58" s="56" t="s">
        <v>22</v>
      </c>
      <c r="B58" s="54" t="s">
        <v>8</v>
      </c>
      <c r="C58" s="197"/>
      <c r="D58" s="37">
        <f t="shared" si="4"/>
        <v>878202</v>
      </c>
      <c r="E58" s="42">
        <v>0</v>
      </c>
      <c r="F58" s="37">
        <v>878202</v>
      </c>
    </row>
    <row r="59" spans="1:6" ht="25.5">
      <c r="A59" s="199" t="s">
        <v>23</v>
      </c>
      <c r="B59" s="54" t="s">
        <v>8</v>
      </c>
      <c r="C59" s="197"/>
      <c r="D59" s="37">
        <f t="shared" si="4"/>
        <v>940120</v>
      </c>
      <c r="E59" s="42">
        <v>0</v>
      </c>
      <c r="F59" s="37">
        <v>940120</v>
      </c>
    </row>
    <row r="60" spans="1:6" ht="38.25">
      <c r="A60" s="201"/>
      <c r="B60" s="72" t="s">
        <v>139</v>
      </c>
      <c r="C60" s="197"/>
      <c r="D60" s="37">
        <f t="shared" si="4"/>
        <v>161950</v>
      </c>
      <c r="E60" s="71">
        <v>0</v>
      </c>
      <c r="F60" s="37">
        <v>161950</v>
      </c>
    </row>
    <row r="61" spans="1:6" ht="25.5">
      <c r="A61" s="201"/>
      <c r="B61" s="72" t="s">
        <v>141</v>
      </c>
      <c r="C61" s="197"/>
      <c r="D61" s="37">
        <f t="shared" si="4"/>
        <v>198900</v>
      </c>
      <c r="E61" s="71">
        <v>0</v>
      </c>
      <c r="F61" s="37">
        <v>198900</v>
      </c>
    </row>
    <row r="62" spans="1:6">
      <c r="A62" s="200"/>
      <c r="B62" s="72" t="s">
        <v>54</v>
      </c>
      <c r="C62" s="197"/>
      <c r="D62" s="37">
        <f t="shared" si="4"/>
        <v>41670</v>
      </c>
      <c r="E62" s="71">
        <v>0</v>
      </c>
      <c r="F62" s="37">
        <v>41670</v>
      </c>
    </row>
    <row r="63" spans="1:6" ht="25.5">
      <c r="A63" s="189" t="s">
        <v>24</v>
      </c>
      <c r="B63" s="54" t="s">
        <v>8</v>
      </c>
      <c r="C63" s="197"/>
      <c r="D63" s="37">
        <f t="shared" si="4"/>
        <v>897000</v>
      </c>
      <c r="E63" s="42">
        <v>0</v>
      </c>
      <c r="F63" s="37">
        <f>663000+234000</f>
        <v>897000</v>
      </c>
    </row>
    <row r="64" spans="1:6">
      <c r="A64" s="189"/>
      <c r="B64" s="54" t="s">
        <v>65</v>
      </c>
      <c r="C64" s="197"/>
      <c r="D64" s="37">
        <f t="shared" si="4"/>
        <v>92000</v>
      </c>
      <c r="E64" s="42">
        <v>0</v>
      </c>
      <c r="F64" s="37">
        <v>92000</v>
      </c>
    </row>
    <row r="65" spans="1:7" ht="25.5">
      <c r="A65" s="189"/>
      <c r="B65" s="54" t="s">
        <v>58</v>
      </c>
      <c r="C65" s="197"/>
      <c r="D65" s="37">
        <f t="shared" si="4"/>
        <v>25570.52</v>
      </c>
      <c r="E65" s="42">
        <v>0</v>
      </c>
      <c r="F65" s="37">
        <v>25570.52</v>
      </c>
    </row>
    <row r="66" spans="1:7" ht="25.5">
      <c r="A66" s="189"/>
      <c r="B66" s="54" t="s">
        <v>57</v>
      </c>
      <c r="C66" s="197"/>
      <c r="D66" s="37">
        <f t="shared" si="4"/>
        <v>70132.67</v>
      </c>
      <c r="E66" s="42">
        <v>0</v>
      </c>
      <c r="F66" s="37">
        <v>70132.67</v>
      </c>
    </row>
    <row r="67" spans="1:7" ht="25.5">
      <c r="A67" s="189"/>
      <c r="B67" s="54" t="s">
        <v>56</v>
      </c>
      <c r="C67" s="197"/>
      <c r="D67" s="37">
        <f t="shared" si="4"/>
        <v>179604.07</v>
      </c>
      <c r="E67" s="42">
        <v>0</v>
      </c>
      <c r="F67" s="37">
        <f>179604.07</f>
        <v>179604.07</v>
      </c>
    </row>
    <row r="68" spans="1:7" ht="25.5">
      <c r="A68" s="199" t="s">
        <v>25</v>
      </c>
      <c r="B68" s="54" t="s">
        <v>8</v>
      </c>
      <c r="C68" s="197"/>
      <c r="D68" s="37">
        <f t="shared" si="4"/>
        <v>1406400</v>
      </c>
      <c r="E68" s="42">
        <v>0</v>
      </c>
      <c r="F68" s="37">
        <v>1406400</v>
      </c>
    </row>
    <row r="69" spans="1:7" ht="25.5">
      <c r="A69" s="200"/>
      <c r="B69" s="86" t="s">
        <v>155</v>
      </c>
      <c r="C69" s="197"/>
      <c r="D69" s="37">
        <f t="shared" si="4"/>
        <v>714885</v>
      </c>
      <c r="E69" s="85">
        <v>0</v>
      </c>
      <c r="F69" s="37">
        <v>714885</v>
      </c>
    </row>
    <row r="70" spans="1:7" ht="25.5">
      <c r="A70" s="54" t="s">
        <v>26</v>
      </c>
      <c r="B70" s="54" t="s">
        <v>8</v>
      </c>
      <c r="C70" s="197"/>
      <c r="D70" s="37">
        <f t="shared" si="4"/>
        <v>2373110</v>
      </c>
      <c r="E70" s="42">
        <v>0</v>
      </c>
      <c r="F70" s="37">
        <v>2373110</v>
      </c>
    </row>
    <row r="71" spans="1:7" ht="25.5">
      <c r="A71" s="54" t="s">
        <v>27</v>
      </c>
      <c r="B71" s="80" t="s">
        <v>8</v>
      </c>
      <c r="C71" s="197"/>
      <c r="D71" s="37">
        <f t="shared" si="4"/>
        <v>1088000</v>
      </c>
      <c r="E71" s="81">
        <v>0</v>
      </c>
      <c r="F71" s="37">
        <v>1088000</v>
      </c>
    </row>
    <row r="72" spans="1:7" ht="25.5">
      <c r="A72" s="199" t="s">
        <v>28</v>
      </c>
      <c r="B72" s="80" t="s">
        <v>8</v>
      </c>
      <c r="C72" s="197"/>
      <c r="D72" s="37">
        <f t="shared" si="4"/>
        <v>889200</v>
      </c>
      <c r="E72" s="81">
        <v>0</v>
      </c>
      <c r="F72" s="37">
        <v>889200</v>
      </c>
    </row>
    <row r="73" spans="1:7">
      <c r="A73" s="200"/>
      <c r="B73" s="80" t="s">
        <v>54</v>
      </c>
      <c r="C73" s="197"/>
      <c r="D73" s="37">
        <f t="shared" si="4"/>
        <v>430000</v>
      </c>
      <c r="E73" s="81">
        <v>0</v>
      </c>
      <c r="F73" s="37">
        <v>430000</v>
      </c>
    </row>
    <row r="74" spans="1:7">
      <c r="A74" s="57" t="s">
        <v>103</v>
      </c>
      <c r="B74" s="80" t="s">
        <v>54</v>
      </c>
      <c r="C74" s="197"/>
      <c r="D74" s="37">
        <f t="shared" si="4"/>
        <v>494000</v>
      </c>
      <c r="E74" s="81">
        <v>0</v>
      </c>
      <c r="F74" s="37">
        <v>494000</v>
      </c>
    </row>
    <row r="75" spans="1:7">
      <c r="A75" s="91" t="s">
        <v>154</v>
      </c>
      <c r="B75" s="86" t="s">
        <v>168</v>
      </c>
      <c r="C75" s="198"/>
      <c r="D75" s="37">
        <f t="shared" si="4"/>
        <v>46600</v>
      </c>
      <c r="E75" s="81">
        <v>0</v>
      </c>
      <c r="F75" s="37">
        <v>46600</v>
      </c>
    </row>
    <row r="76" spans="1:7">
      <c r="A76" s="181" t="s">
        <v>29</v>
      </c>
      <c r="B76" s="181"/>
      <c r="C76" s="182"/>
      <c r="D76" s="37">
        <f t="shared" ref="D76:E76" si="5">SUM(D12:D75)</f>
        <v>33859304.910000004</v>
      </c>
      <c r="E76" s="37">
        <f t="shared" si="5"/>
        <v>0</v>
      </c>
      <c r="F76" s="37">
        <f>SUM(F12:F75)</f>
        <v>33859304.910000004</v>
      </c>
      <c r="G76" s="111"/>
    </row>
    <row r="77" spans="1:7">
      <c r="A77" s="55" t="s">
        <v>11</v>
      </c>
      <c r="B77" s="183" t="s">
        <v>8</v>
      </c>
      <c r="C77" s="184" t="s">
        <v>30</v>
      </c>
      <c r="D77" s="37">
        <f t="shared" ref="D77:D83" si="6">E77+F77</f>
        <v>1399920</v>
      </c>
      <c r="E77" s="58">
        <f>1399920-1890</f>
        <v>1398030</v>
      </c>
      <c r="F77" s="37">
        <v>1890</v>
      </c>
      <c r="G77" s="84"/>
    </row>
    <row r="78" spans="1:7">
      <c r="A78" s="59" t="s">
        <v>18</v>
      </c>
      <c r="B78" s="183"/>
      <c r="C78" s="184"/>
      <c r="D78" s="37">
        <f t="shared" si="6"/>
        <v>570200</v>
      </c>
      <c r="E78" s="58">
        <f>570200-770</f>
        <v>569430</v>
      </c>
      <c r="F78" s="37">
        <v>770</v>
      </c>
    </row>
    <row r="79" spans="1:7">
      <c r="A79" s="59" t="s">
        <v>31</v>
      </c>
      <c r="B79" s="183"/>
      <c r="C79" s="184"/>
      <c r="D79" s="37">
        <f t="shared" si="6"/>
        <v>1057160</v>
      </c>
      <c r="E79" s="58">
        <f>1057160-1427</f>
        <v>1055733</v>
      </c>
      <c r="F79" s="37">
        <v>1427</v>
      </c>
    </row>
    <row r="80" spans="1:7">
      <c r="A80" s="59" t="s">
        <v>32</v>
      </c>
      <c r="B80" s="183"/>
      <c r="C80" s="184"/>
      <c r="D80" s="37">
        <f t="shared" si="6"/>
        <v>1067040</v>
      </c>
      <c r="E80" s="58">
        <f>1067040-1441</f>
        <v>1065599</v>
      </c>
      <c r="F80" s="37">
        <v>1441</v>
      </c>
    </row>
    <row r="81" spans="1:6">
      <c r="A81" s="59" t="s">
        <v>33</v>
      </c>
      <c r="B81" s="183"/>
      <c r="C81" s="184"/>
      <c r="D81" s="37">
        <f t="shared" si="6"/>
        <v>792300</v>
      </c>
      <c r="E81" s="58">
        <f>792300-1070</f>
        <v>791230</v>
      </c>
      <c r="F81" s="37">
        <v>1070</v>
      </c>
    </row>
    <row r="82" spans="1:6">
      <c r="A82" s="59" t="s">
        <v>34</v>
      </c>
      <c r="B82" s="183"/>
      <c r="C82" s="184"/>
      <c r="D82" s="37">
        <f t="shared" si="6"/>
        <v>897000</v>
      </c>
      <c r="E82" s="58">
        <f>897000-1211</f>
        <v>895789</v>
      </c>
      <c r="F82" s="37">
        <v>1211</v>
      </c>
    </row>
    <row r="83" spans="1:6">
      <c r="A83" s="59" t="s">
        <v>35</v>
      </c>
      <c r="B83" s="183"/>
      <c r="C83" s="184"/>
      <c r="D83" s="37">
        <f t="shared" si="6"/>
        <v>1011398</v>
      </c>
      <c r="E83" s="58">
        <f>1011398-1365</f>
        <v>1010033</v>
      </c>
      <c r="F83" s="37">
        <v>1365</v>
      </c>
    </row>
    <row r="84" spans="1:6">
      <c r="A84" s="181" t="s">
        <v>29</v>
      </c>
      <c r="B84" s="181"/>
      <c r="C84" s="185"/>
      <c r="D84" s="37">
        <f>SUM(D77:D83)</f>
        <v>6795018</v>
      </c>
      <c r="E84" s="21">
        <f t="shared" ref="E84:F84" si="7">SUM(E77:E83)</f>
        <v>6785844</v>
      </c>
      <c r="F84" s="37">
        <f t="shared" si="7"/>
        <v>9174</v>
      </c>
    </row>
    <row r="85" spans="1:6">
      <c r="A85" s="179" t="s">
        <v>36</v>
      </c>
      <c r="B85" s="179"/>
      <c r="C85" s="180"/>
      <c r="D85" s="37">
        <f>D84+D76</f>
        <v>40654322.910000004</v>
      </c>
      <c r="E85" s="21">
        <f>E84+E76</f>
        <v>6785844</v>
      </c>
      <c r="F85" s="37">
        <f>F84+F76</f>
        <v>33868478.910000004</v>
      </c>
    </row>
    <row r="88" spans="1:6">
      <c r="F88" s="38"/>
    </row>
  </sheetData>
  <autoFilter ref="A11:F85"/>
  <mergeCells count="31">
    <mergeCell ref="A15:A16"/>
    <mergeCell ref="D15:D16"/>
    <mergeCell ref="E15:E16"/>
    <mergeCell ref="F15:F16"/>
    <mergeCell ref="C12:C75"/>
    <mergeCell ref="A72:A73"/>
    <mergeCell ref="A59:A62"/>
    <mergeCell ref="A50:A52"/>
    <mergeCell ref="A20:A21"/>
    <mergeCell ref="A34:A35"/>
    <mergeCell ref="A43:A45"/>
    <mergeCell ref="A56:A57"/>
    <mergeCell ref="A26:A27"/>
    <mergeCell ref="A68:A69"/>
    <mergeCell ref="A18:A19"/>
    <mergeCell ref="D1:F6"/>
    <mergeCell ref="A85:C85"/>
    <mergeCell ref="A76:C76"/>
    <mergeCell ref="B77:B83"/>
    <mergeCell ref="C77:C83"/>
    <mergeCell ref="A84:C84"/>
    <mergeCell ref="D8:F8"/>
    <mergeCell ref="A10:A11"/>
    <mergeCell ref="B10:B11"/>
    <mergeCell ref="C10:C11"/>
    <mergeCell ref="D10:D11"/>
    <mergeCell ref="E10:F10"/>
    <mergeCell ref="A30:A31"/>
    <mergeCell ref="A63:A67"/>
    <mergeCell ref="A7:F7"/>
    <mergeCell ref="A53:A55"/>
  </mergeCells>
  <pageMargins left="0.31496062992125984" right="0.31496062992125984" top="0.35433070866141736" bottom="0.35433070866141736" header="0" footer="0"/>
  <pageSetup paperSize="9" scale="77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Приложение 1  </vt:lpstr>
      <vt:lpstr>Приложение 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gtihaa</cp:lastModifiedBy>
  <cp:lastPrinted>2024-07-23T08:20:07Z</cp:lastPrinted>
  <dcterms:created xsi:type="dcterms:W3CDTF">2023-08-10T19:03:18Z</dcterms:created>
  <dcterms:modified xsi:type="dcterms:W3CDTF">2024-07-24T07:52:05Z</dcterms:modified>
</cp:coreProperties>
</file>